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45" windowWidth="14820" windowHeight="8130"/>
  </bookViews>
  <sheets>
    <sheet name="Sesja 03.02.2011" sheetId="11" r:id="rId1"/>
    <sheet name="Arkusz1" sheetId="3" r:id="rId2"/>
    <sheet name="Arkusz2" sheetId="5" r:id="rId3"/>
    <sheet name="Arkusz3" sheetId="6" r:id="rId4"/>
    <sheet name="Arkusz4" sheetId="7" r:id="rId5"/>
    <sheet name="Arkusz5" sheetId="8" r:id="rId6"/>
    <sheet name="Arkusz6" sheetId="9" r:id="rId7"/>
    <sheet name="Arkusz7" sheetId="10" r:id="rId8"/>
  </sheets>
  <externalReferences>
    <externalReference r:id="rId9"/>
  </externalReferences>
  <definedNames>
    <definedName name="\E70" localSheetId="0">'Sesja 03.02.2011'!#REF!</definedName>
    <definedName name="\E70">[1]Wykonanie!#REF!</definedName>
    <definedName name="_xlnm.Print_Area" localSheetId="0">'Sesja 03.02.2011'!$A$1:$H$647</definedName>
    <definedName name="S.29.05.08" localSheetId="0">[1]Wykonanie!#REF!</definedName>
    <definedName name="S.29.05.08">[1]Wykonanie!#REF!</definedName>
    <definedName name="_xlnm.Print_Titles" localSheetId="0">'Sesja 03.02.2011'!$3:$5</definedName>
  </definedNames>
  <calcPr calcId="125725"/>
</workbook>
</file>

<file path=xl/calcChain.xml><?xml version="1.0" encoding="utf-8"?>
<calcChain xmlns="http://schemas.openxmlformats.org/spreadsheetml/2006/main">
  <c r="E639" i="11"/>
  <c r="E638"/>
  <c r="H637"/>
  <c r="E637"/>
  <c r="G635"/>
  <c r="E635"/>
  <c r="H632"/>
  <c r="G632"/>
  <c r="E632"/>
  <c r="H629"/>
  <c r="E629"/>
  <c r="E618"/>
  <c r="G618" s="1"/>
  <c r="E616"/>
  <c r="G616" s="1"/>
  <c r="E615"/>
  <c r="G615" s="1"/>
  <c r="E614"/>
  <c r="G614" s="1"/>
  <c r="G606" s="1"/>
  <c r="I613"/>
  <c r="I611"/>
  <c r="I610"/>
  <c r="I609"/>
  <c r="I608"/>
  <c r="E608"/>
  <c r="H606"/>
  <c r="H605"/>
  <c r="H604"/>
  <c r="E604"/>
  <c r="H603"/>
  <c r="E603"/>
  <c r="F602"/>
  <c r="H601"/>
  <c r="E601"/>
  <c r="E598"/>
  <c r="G598" s="1"/>
  <c r="G597" s="1"/>
  <c r="G588" s="1"/>
  <c r="H597"/>
  <c r="E597"/>
  <c r="I596"/>
  <c r="H595"/>
  <c r="G595"/>
  <c r="F595"/>
  <c r="E595"/>
  <c r="G594"/>
  <c r="E594"/>
  <c r="H593"/>
  <c r="G593"/>
  <c r="E593"/>
  <c r="E592"/>
  <c r="H591"/>
  <c r="G591"/>
  <c r="F591"/>
  <c r="E591"/>
  <c r="E590"/>
  <c r="H589"/>
  <c r="G589"/>
  <c r="E589"/>
  <c r="H588"/>
  <c r="E588"/>
  <c r="F587"/>
  <c r="F583"/>
  <c r="H582"/>
  <c r="E582"/>
  <c r="G581"/>
  <c r="F581"/>
  <c r="E581"/>
  <c r="G580"/>
  <c r="E580"/>
  <c r="G579"/>
  <c r="F579"/>
  <c r="E579"/>
  <c r="G578"/>
  <c r="E578"/>
  <c r="H577"/>
  <c r="G577"/>
  <c r="F577"/>
  <c r="E577"/>
  <c r="G576"/>
  <c r="E576"/>
  <c r="H575"/>
  <c r="G575"/>
  <c r="F575"/>
  <c r="E575"/>
  <c r="H574"/>
  <c r="F574"/>
  <c r="E574"/>
  <c r="H573"/>
  <c r="E573"/>
  <c r="G572"/>
  <c r="I572" s="1"/>
  <c r="E572"/>
  <c r="G571"/>
  <c r="I571" s="1"/>
  <c r="E571"/>
  <c r="G570"/>
  <c r="I570" s="1"/>
  <c r="E570"/>
  <c r="G569"/>
  <c r="I569" s="1"/>
  <c r="E569"/>
  <c r="G568"/>
  <c r="I568" s="1"/>
  <c r="E568"/>
  <c r="G567"/>
  <c r="I567" s="1"/>
  <c r="E567"/>
  <c r="I566"/>
  <c r="F566"/>
  <c r="I565"/>
  <c r="H564"/>
  <c r="G564"/>
  <c r="E564"/>
  <c r="E563"/>
  <c r="H563" s="1"/>
  <c r="H562" s="1"/>
  <c r="H558" s="1"/>
  <c r="H541" s="1"/>
  <c r="E562"/>
  <c r="F561"/>
  <c r="G560"/>
  <c r="E560"/>
  <c r="F559"/>
  <c r="E559"/>
  <c r="G559" s="1"/>
  <c r="G558" s="1"/>
  <c r="G541" s="1"/>
  <c r="E558"/>
  <c r="G557"/>
  <c r="E557"/>
  <c r="H556"/>
  <c r="G556"/>
  <c r="E556"/>
  <c r="G555"/>
  <c r="E555"/>
  <c r="G554"/>
  <c r="E554"/>
  <c r="G553"/>
  <c r="E553"/>
  <c r="H552"/>
  <c r="G552"/>
  <c r="E552"/>
  <c r="E551"/>
  <c r="G550"/>
  <c r="E550"/>
  <c r="H549"/>
  <c r="G549"/>
  <c r="F549"/>
  <c r="E549"/>
  <c r="G548"/>
  <c r="E548"/>
  <c r="H547"/>
  <c r="G547"/>
  <c r="F547"/>
  <c r="E547"/>
  <c r="H545"/>
  <c r="E545"/>
  <c r="G544"/>
  <c r="E544"/>
  <c r="G543"/>
  <c r="E543"/>
  <c r="H542"/>
  <c r="G542"/>
  <c r="E542"/>
  <c r="E541"/>
  <c r="G540"/>
  <c r="E540"/>
  <c r="G539"/>
  <c r="F539"/>
  <c r="E539"/>
  <c r="G538"/>
  <c r="I538" s="1"/>
  <c r="E538"/>
  <c r="I537"/>
  <c r="I536"/>
  <c r="H535"/>
  <c r="G535"/>
  <c r="E535"/>
  <c r="F534"/>
  <c r="H532"/>
  <c r="G532"/>
  <c r="E532"/>
  <c r="G531"/>
  <c r="F531"/>
  <c r="E531"/>
  <c r="G530"/>
  <c r="F530"/>
  <c r="E530"/>
  <c r="F521"/>
  <c r="G519"/>
  <c r="E519"/>
  <c r="F518"/>
  <c r="G516"/>
  <c r="I516" s="1"/>
  <c r="F516"/>
  <c r="E516"/>
  <c r="I515"/>
  <c r="I514"/>
  <c r="I513"/>
  <c r="E512"/>
  <c r="G512" s="1"/>
  <c r="H510"/>
  <c r="E510"/>
  <c r="H509"/>
  <c r="E509"/>
  <c r="I498"/>
  <c r="I497"/>
  <c r="I496"/>
  <c r="F496"/>
  <c r="I495"/>
  <c r="F495"/>
  <c r="I494"/>
  <c r="I493"/>
  <c r="I492"/>
  <c r="I491"/>
  <c r="H490"/>
  <c r="G490"/>
  <c r="E490"/>
  <c r="H488"/>
  <c r="G488"/>
  <c r="E488"/>
  <c r="E487"/>
  <c r="H487" s="1"/>
  <c r="H486" s="1"/>
  <c r="H468" s="1"/>
  <c r="H467" s="1"/>
  <c r="E486"/>
  <c r="F484"/>
  <c r="F482"/>
  <c r="G468"/>
  <c r="F468"/>
  <c r="E468"/>
  <c r="G467"/>
  <c r="F467"/>
  <c r="E467"/>
  <c r="G466"/>
  <c r="E466"/>
  <c r="G465"/>
  <c r="E465"/>
  <c r="G464"/>
  <c r="E464"/>
  <c r="G463"/>
  <c r="E463"/>
  <c r="G462"/>
  <c r="E462"/>
  <c r="G461"/>
  <c r="E461"/>
  <c r="G459"/>
  <c r="E459"/>
  <c r="G458"/>
  <c r="E458"/>
  <c r="I456"/>
  <c r="G456"/>
  <c r="E456"/>
  <c r="I455"/>
  <c r="G455"/>
  <c r="E455"/>
  <c r="I454"/>
  <c r="G454"/>
  <c r="E454"/>
  <c r="I453"/>
  <c r="G453"/>
  <c r="E453"/>
  <c r="I452"/>
  <c r="G452"/>
  <c r="E452"/>
  <c r="I451"/>
  <c r="G451"/>
  <c r="E451"/>
  <c r="I450"/>
  <c r="G450"/>
  <c r="E450"/>
  <c r="G449"/>
  <c r="E449"/>
  <c r="H447"/>
  <c r="G447"/>
  <c r="F447"/>
  <c r="E447"/>
  <c r="I444"/>
  <c r="I442"/>
  <c r="I441"/>
  <c r="I440"/>
  <c r="I439"/>
  <c r="H437"/>
  <c r="G437"/>
  <c r="F437"/>
  <c r="E437"/>
  <c r="I424"/>
  <c r="I422"/>
  <c r="I421"/>
  <c r="I420"/>
  <c r="I419"/>
  <c r="H417"/>
  <c r="G417"/>
  <c r="F417"/>
  <c r="E417"/>
  <c r="H415"/>
  <c r="G415"/>
  <c r="F415"/>
  <c r="E415"/>
  <c r="H413"/>
  <c r="G413"/>
  <c r="F413"/>
  <c r="E413"/>
  <c r="G411"/>
  <c r="E411"/>
  <c r="H410"/>
  <c r="G410"/>
  <c r="F410"/>
  <c r="E410"/>
  <c r="H408"/>
  <c r="G408"/>
  <c r="F408"/>
  <c r="E408"/>
  <c r="I396"/>
  <c r="I394"/>
  <c r="I393"/>
  <c r="I392"/>
  <c r="I391"/>
  <c r="H389"/>
  <c r="G389"/>
  <c r="F389"/>
  <c r="E389"/>
  <c r="G388"/>
  <c r="E388"/>
  <c r="H387"/>
  <c r="G387"/>
  <c r="F387"/>
  <c r="E387"/>
  <c r="H386"/>
  <c r="G386"/>
  <c r="F386"/>
  <c r="E386"/>
  <c r="H384"/>
  <c r="G384"/>
  <c r="F384"/>
  <c r="E384"/>
  <c r="E377"/>
  <c r="I372"/>
  <c r="I371"/>
  <c r="I370"/>
  <c r="I369"/>
  <c r="G368"/>
  <c r="I368" s="1"/>
  <c r="E368"/>
  <c r="H366"/>
  <c r="G366"/>
  <c r="F366"/>
  <c r="E366"/>
  <c r="G365"/>
  <c r="E365"/>
  <c r="G364"/>
  <c r="E364"/>
  <c r="G363"/>
  <c r="E363"/>
  <c r="G362"/>
  <c r="I362" s="1"/>
  <c r="E362"/>
  <c r="H361"/>
  <c r="G361"/>
  <c r="F361"/>
  <c r="E361"/>
  <c r="E360"/>
  <c r="H359"/>
  <c r="E359"/>
  <c r="G358"/>
  <c r="E358"/>
  <c r="H357"/>
  <c r="G357"/>
  <c r="F357"/>
  <c r="E357"/>
  <c r="H355"/>
  <c r="G355"/>
  <c r="F355"/>
  <c r="E355"/>
  <c r="H354"/>
  <c r="G354"/>
  <c r="F354"/>
  <c r="E354"/>
  <c r="G353"/>
  <c r="E353"/>
  <c r="G352"/>
  <c r="E352"/>
  <c r="G351"/>
  <c r="E351"/>
  <c r="G350"/>
  <c r="E350"/>
  <c r="G349"/>
  <c r="E349"/>
  <c r="G348"/>
  <c r="E348"/>
  <c r="E347"/>
  <c r="G347" s="1"/>
  <c r="E346"/>
  <c r="G346" s="1"/>
  <c r="G344"/>
  <c r="E344"/>
  <c r="G343"/>
  <c r="E343"/>
  <c r="E342"/>
  <c r="G342" s="1"/>
  <c r="E341"/>
  <c r="G341" s="1"/>
  <c r="G331" s="1"/>
  <c r="G339"/>
  <c r="I339" s="1"/>
  <c r="E339"/>
  <c r="G338"/>
  <c r="I338" s="1"/>
  <c r="E338"/>
  <c r="G337"/>
  <c r="I337" s="1"/>
  <c r="E337"/>
  <c r="G336"/>
  <c r="I336" s="1"/>
  <c r="E336"/>
  <c r="G335"/>
  <c r="I335" s="1"/>
  <c r="E335"/>
  <c r="G334"/>
  <c r="I334" s="1"/>
  <c r="E334"/>
  <c r="G333"/>
  <c r="I333" s="1"/>
  <c r="E333"/>
  <c r="G332"/>
  <c r="I332" s="1"/>
  <c r="E332"/>
  <c r="H331"/>
  <c r="F331"/>
  <c r="E331"/>
  <c r="H328"/>
  <c r="G328"/>
  <c r="F328"/>
  <c r="E328"/>
  <c r="I320"/>
  <c r="I319"/>
  <c r="I318"/>
  <c r="I317"/>
  <c r="H316"/>
  <c r="G316"/>
  <c r="F316"/>
  <c r="E316"/>
  <c r="E305"/>
  <c r="G305" s="1"/>
  <c r="G297" s="1"/>
  <c r="I303"/>
  <c r="I302"/>
  <c r="I301"/>
  <c r="I300"/>
  <c r="I299"/>
  <c r="H297"/>
  <c r="F297"/>
  <c r="E297"/>
  <c r="H295"/>
  <c r="G295"/>
  <c r="F295"/>
  <c r="E295"/>
  <c r="H293"/>
  <c r="G293"/>
  <c r="F293"/>
  <c r="E293"/>
  <c r="I290"/>
  <c r="I289"/>
  <c r="I288"/>
  <c r="I287"/>
  <c r="I286"/>
  <c r="H284"/>
  <c r="G284"/>
  <c r="F284"/>
  <c r="E284"/>
  <c r="E275"/>
  <c r="G275" s="1"/>
  <c r="G273"/>
  <c r="E273"/>
  <c r="E270"/>
  <c r="G270" s="1"/>
  <c r="G261" s="1"/>
  <c r="I269"/>
  <c r="I267"/>
  <c r="G266"/>
  <c r="I266" s="1"/>
  <c r="E266"/>
  <c r="I265"/>
  <c r="G264"/>
  <c r="I264" s="1"/>
  <c r="E264"/>
  <c r="H261"/>
  <c r="F261"/>
  <c r="E261"/>
  <c r="H257"/>
  <c r="F257"/>
  <c r="E257"/>
  <c r="E249"/>
  <c r="G249" s="1"/>
  <c r="E247"/>
  <c r="G247" s="1"/>
  <c r="G234" s="1"/>
  <c r="G244"/>
  <c r="E244"/>
  <c r="G243"/>
  <c r="E243"/>
  <c r="I242"/>
  <c r="I240"/>
  <c r="G239"/>
  <c r="I239" s="1"/>
  <c r="E239"/>
  <c r="G238"/>
  <c r="I238" s="1"/>
  <c r="E238"/>
  <c r="G237"/>
  <c r="I237" s="1"/>
  <c r="E237"/>
  <c r="H234"/>
  <c r="F234"/>
  <c r="E234"/>
  <c r="I225"/>
  <c r="I224"/>
  <c r="I223"/>
  <c r="E222"/>
  <c r="G222" s="1"/>
  <c r="F220"/>
  <c r="E220"/>
  <c r="H217"/>
  <c r="E217"/>
  <c r="E216"/>
  <c r="H216" s="1"/>
  <c r="H215" s="1"/>
  <c r="H191" s="1"/>
  <c r="H190" s="1"/>
  <c r="E215"/>
  <c r="H211"/>
  <c r="F211"/>
  <c r="E211"/>
  <c r="E201"/>
  <c r="G201" s="1"/>
  <c r="E198"/>
  <c r="G198" s="1"/>
  <c r="I197"/>
  <c r="E196"/>
  <c r="G196" s="1"/>
  <c r="I196" s="1"/>
  <c r="E195"/>
  <c r="G195" s="1"/>
  <c r="I195" s="1"/>
  <c r="I194"/>
  <c r="E193"/>
  <c r="G193" s="1"/>
  <c r="F191"/>
  <c r="E191"/>
  <c r="F190"/>
  <c r="E190"/>
  <c r="H188"/>
  <c r="G188"/>
  <c r="F188"/>
  <c r="E188"/>
  <c r="E187"/>
  <c r="H186"/>
  <c r="G186"/>
  <c r="F186"/>
  <c r="E186"/>
  <c r="H185"/>
  <c r="G185"/>
  <c r="F185"/>
  <c r="E185"/>
  <c r="H183"/>
  <c r="G183"/>
  <c r="F183"/>
  <c r="E183"/>
  <c r="H182"/>
  <c r="G182"/>
  <c r="F182"/>
  <c r="E182"/>
  <c r="G180"/>
  <c r="E180"/>
  <c r="G179"/>
  <c r="I179" s="1"/>
  <c r="E179"/>
  <c r="I178"/>
  <c r="I177"/>
  <c r="G176"/>
  <c r="E176"/>
  <c r="H175"/>
  <c r="G175"/>
  <c r="F175"/>
  <c r="E175"/>
  <c r="H174"/>
  <c r="G174"/>
  <c r="F174"/>
  <c r="E174"/>
  <c r="E172"/>
  <c r="G172" s="1"/>
  <c r="E171"/>
  <c r="G171" s="1"/>
  <c r="G169" s="1"/>
  <c r="H169"/>
  <c r="F169"/>
  <c r="E169"/>
  <c r="H168"/>
  <c r="G166"/>
  <c r="I165"/>
  <c r="E164"/>
  <c r="G164" s="1"/>
  <c r="I164" s="1"/>
  <c r="E163"/>
  <c r="G163" s="1"/>
  <c r="H162"/>
  <c r="F162"/>
  <c r="E162"/>
  <c r="G159"/>
  <c r="I159" s="1"/>
  <c r="E159"/>
  <c r="G158"/>
  <c r="I158" s="1"/>
  <c r="E158"/>
  <c r="G157"/>
  <c r="I157" s="1"/>
  <c r="E157"/>
  <c r="H156"/>
  <c r="G156"/>
  <c r="F156"/>
  <c r="E156"/>
  <c r="F155"/>
  <c r="E155"/>
  <c r="H155" s="1"/>
  <c r="H132" s="1"/>
  <c r="H127" s="1"/>
  <c r="E154"/>
  <c r="H152"/>
  <c r="E152"/>
  <c r="E143"/>
  <c r="G143" s="1"/>
  <c r="E142"/>
  <c r="G142" s="1"/>
  <c r="E140"/>
  <c r="G140" s="1"/>
  <c r="G132" s="1"/>
  <c r="I139"/>
  <c r="I138"/>
  <c r="I137"/>
  <c r="I136"/>
  <c r="I135"/>
  <c r="F132"/>
  <c r="E132"/>
  <c r="H130"/>
  <c r="G130"/>
  <c r="F130"/>
  <c r="E130"/>
  <c r="H128"/>
  <c r="G128"/>
  <c r="F128"/>
  <c r="E128"/>
  <c r="F127"/>
  <c r="E127"/>
  <c r="I126"/>
  <c r="I125"/>
  <c r="I124"/>
  <c r="H123"/>
  <c r="G123"/>
  <c r="F123"/>
  <c r="E123"/>
  <c r="H122"/>
  <c r="G122"/>
  <c r="F122"/>
  <c r="E122"/>
  <c r="E119"/>
  <c r="G119" s="1"/>
  <c r="E117"/>
  <c r="G117" s="1"/>
  <c r="I116"/>
  <c r="E115"/>
  <c r="G115" s="1"/>
  <c r="G114" s="1"/>
  <c r="H114"/>
  <c r="F114"/>
  <c r="E114"/>
  <c r="E112"/>
  <c r="G112" s="1"/>
  <c r="E110"/>
  <c r="G110" s="1"/>
  <c r="G108" s="1"/>
  <c r="I109"/>
  <c r="H108"/>
  <c r="F108"/>
  <c r="E108"/>
  <c r="F107"/>
  <c r="E107"/>
  <c r="E106"/>
  <c r="G106" s="1"/>
  <c r="G105"/>
  <c r="E105"/>
  <c r="G103"/>
  <c r="E103"/>
  <c r="E102"/>
  <c r="G102" s="1"/>
  <c r="E101"/>
  <c r="G101" s="1"/>
  <c r="G100"/>
  <c r="E100"/>
  <c r="G99"/>
  <c r="E99"/>
  <c r="G98"/>
  <c r="E98"/>
  <c r="G97"/>
  <c r="E97"/>
  <c r="E96"/>
  <c r="G96" s="1"/>
  <c r="G95"/>
  <c r="E95"/>
  <c r="G94"/>
  <c r="E94"/>
  <c r="E93"/>
  <c r="G93" s="1"/>
  <c r="E92"/>
  <c r="G92" s="1"/>
  <c r="I91"/>
  <c r="G91"/>
  <c r="E91"/>
  <c r="E89"/>
  <c r="G89" s="1"/>
  <c r="I89" s="1"/>
  <c r="E88"/>
  <c r="G88" s="1"/>
  <c r="I87"/>
  <c r="I86"/>
  <c r="E86"/>
  <c r="G85"/>
  <c r="E85"/>
  <c r="G84"/>
  <c r="E84"/>
  <c r="H83"/>
  <c r="F83"/>
  <c r="E83"/>
  <c r="E82"/>
  <c r="E81"/>
  <c r="G81" s="1"/>
  <c r="G79" s="1"/>
  <c r="H79"/>
  <c r="F79"/>
  <c r="E79"/>
  <c r="G78"/>
  <c r="E78"/>
  <c r="G77"/>
  <c r="I77" s="1"/>
  <c r="E77"/>
  <c r="G76"/>
  <c r="I76" s="1"/>
  <c r="E76"/>
  <c r="G75"/>
  <c r="I75" s="1"/>
  <c r="E75"/>
  <c r="G74"/>
  <c r="I74" s="1"/>
  <c r="E74"/>
  <c r="H73"/>
  <c r="G73"/>
  <c r="F73"/>
  <c r="E73"/>
  <c r="H72"/>
  <c r="F72"/>
  <c r="E72"/>
  <c r="H69"/>
  <c r="G69"/>
  <c r="F69"/>
  <c r="E69"/>
  <c r="G68"/>
  <c r="E68"/>
  <c r="G67"/>
  <c r="I67" s="1"/>
  <c r="E67"/>
  <c r="H66"/>
  <c r="G66"/>
  <c r="F66"/>
  <c r="E66"/>
  <c r="H65"/>
  <c r="G65"/>
  <c r="F65"/>
  <c r="E65"/>
  <c r="H64"/>
  <c r="E64"/>
  <c r="H62"/>
  <c r="E62"/>
  <c r="H61"/>
  <c r="F61"/>
  <c r="E61"/>
  <c r="G60"/>
  <c r="E60"/>
  <c r="G59"/>
  <c r="E59"/>
  <c r="G58"/>
  <c r="E58"/>
  <c r="G57"/>
  <c r="E57"/>
  <c r="G56"/>
  <c r="E56"/>
  <c r="E55"/>
  <c r="G55" s="1"/>
  <c r="G52" s="1"/>
  <c r="G51" s="1"/>
  <c r="G54"/>
  <c r="E54"/>
  <c r="G53"/>
  <c r="E53"/>
  <c r="H52"/>
  <c r="F52"/>
  <c r="E52"/>
  <c r="H51"/>
  <c r="F51"/>
  <c r="E51"/>
  <c r="H49"/>
  <c r="F49"/>
  <c r="E49"/>
  <c r="E48"/>
  <c r="E47"/>
  <c r="E46"/>
  <c r="E45"/>
  <c r="E44"/>
  <c r="E43"/>
  <c r="H43" s="1"/>
  <c r="E42"/>
  <c r="H42" s="1"/>
  <c r="E41"/>
  <c r="E35"/>
  <c r="H35" s="1"/>
  <c r="E31"/>
  <c r="H31" s="1"/>
  <c r="H26" s="1"/>
  <c r="E30"/>
  <c r="F26"/>
  <c r="E25"/>
  <c r="E24"/>
  <c r="G22"/>
  <c r="F22"/>
  <c r="E21"/>
  <c r="H20"/>
  <c r="G20"/>
  <c r="F20"/>
  <c r="E20"/>
  <c r="G19"/>
  <c r="F19"/>
  <c r="G18"/>
  <c r="E18"/>
  <c r="H17"/>
  <c r="G17"/>
  <c r="F17"/>
  <c r="E17"/>
  <c r="H16"/>
  <c r="G16"/>
  <c r="F16"/>
  <c r="E16"/>
  <c r="I12"/>
  <c r="I11"/>
  <c r="I10"/>
  <c r="H9"/>
  <c r="G9"/>
  <c r="F9"/>
  <c r="E9"/>
  <c r="G8"/>
  <c r="E8"/>
  <c r="H7"/>
  <c r="G7"/>
  <c r="F7"/>
  <c r="E7"/>
  <c r="H6"/>
  <c r="G6"/>
  <c r="F6"/>
  <c r="F605" s="1"/>
  <c r="E6"/>
  <c r="E26" l="1"/>
  <c r="E22" s="1"/>
  <c r="E19" s="1"/>
  <c r="H22"/>
  <c r="H19" s="1"/>
  <c r="I88"/>
  <c r="G83"/>
  <c r="I163"/>
  <c r="G162"/>
  <c r="I193"/>
  <c r="G191"/>
  <c r="I222"/>
  <c r="G220"/>
  <c r="I512"/>
  <c r="G510"/>
  <c r="G509" s="1"/>
  <c r="E606"/>
  <c r="E605" s="1"/>
  <c r="G605"/>
  <c r="E641"/>
  <c r="H641"/>
  <c r="G72"/>
  <c r="G127"/>
  <c r="I176"/>
  <c r="I641" s="1"/>
  <c r="G190" l="1"/>
  <c r="G641" s="1"/>
</calcChain>
</file>

<file path=xl/sharedStrings.xml><?xml version="1.0" encoding="utf-8"?>
<sst xmlns="http://schemas.openxmlformats.org/spreadsheetml/2006/main" count="1218" uniqueCount="403">
  <si>
    <t>Razem</t>
  </si>
  <si>
    <t>Zakup usług pozostałych</t>
  </si>
  <si>
    <t>4300</t>
  </si>
  <si>
    <t>Składki na ubezpieczenie społeczne</t>
  </si>
  <si>
    <t>4110</t>
  </si>
  <si>
    <t>Stypendia różne</t>
  </si>
  <si>
    <t>3250</t>
  </si>
  <si>
    <t>Nagrody o charakterze szczególnym niezaliczone do wynagrodzeń</t>
  </si>
  <si>
    <t>3040</t>
  </si>
  <si>
    <t>Dotacja celowa z budżetu na finansowanie  lub  dofinansowanie zadań zleconych do realizacji pozostałym  jednostkom niezaliczanym do  sektora finansów  publicznych</t>
  </si>
  <si>
    <t>2830</t>
  </si>
  <si>
    <t>Pozostała działalność</t>
  </si>
  <si>
    <t>92695</t>
  </si>
  <si>
    <t>926</t>
  </si>
  <si>
    <t>Wydatki inwestycyjne jednostek budżetowych</t>
  </si>
  <si>
    <t>92195</t>
  </si>
  <si>
    <t>Dotacja podmiotowa z  budżetu  dla samorządowej  instytucji kultury</t>
  </si>
  <si>
    <t>2480</t>
  </si>
  <si>
    <t>Muzea</t>
  </si>
  <si>
    <t>92118</t>
  </si>
  <si>
    <t>Biblioteki</t>
  </si>
  <si>
    <t>92116</t>
  </si>
  <si>
    <t>KULTURA I OCHRONA DZIEDZICTWA NARODOWEGO</t>
  </si>
  <si>
    <t>921</t>
  </si>
  <si>
    <t>Różne  opłaty  i  składki</t>
  </si>
  <si>
    <t>4430</t>
  </si>
  <si>
    <t xml:space="preserve">Zakup usług pozostałych                                          </t>
  </si>
  <si>
    <t>Zakup energii</t>
  </si>
  <si>
    <t>4260</t>
  </si>
  <si>
    <t>Zakup materiałów i wyposażenia</t>
  </si>
  <si>
    <t>4210</t>
  </si>
  <si>
    <t>90095</t>
  </si>
  <si>
    <t>Zakłady Gospodarki Komunalnej</t>
  </si>
  <si>
    <t>90017</t>
  </si>
  <si>
    <t>6050</t>
  </si>
  <si>
    <t xml:space="preserve">Zakup usług remontowych                                                          </t>
  </si>
  <si>
    <t>4270</t>
  </si>
  <si>
    <t>Oświetlenie ulic, placów i dróg</t>
  </si>
  <si>
    <t>90015</t>
  </si>
  <si>
    <t>Schroniska dla zwierząt</t>
  </si>
  <si>
    <t>90013</t>
  </si>
  <si>
    <t>Zakup  usług  remontowych</t>
  </si>
  <si>
    <t>Utrzymanie zieleni w miastach i gminach</t>
  </si>
  <si>
    <t>90004</t>
  </si>
  <si>
    <t>Oczyszczanie miast i wsi</t>
  </si>
  <si>
    <t>90003</t>
  </si>
  <si>
    <t>Wydatki  inwestycyjne jednostek budżetowych</t>
  </si>
  <si>
    <t>Gospodarka odpadami</t>
  </si>
  <si>
    <t>90002</t>
  </si>
  <si>
    <t>Gospodarka ściekowa i ochrona wód</t>
  </si>
  <si>
    <t>90001</t>
  </si>
  <si>
    <t>GOSPODARKA KOMUNALNA I OCHRONA ŚRODOWISKA</t>
  </si>
  <si>
    <t>900</t>
  </si>
  <si>
    <t>Rehabilitacja zawodowa i społeczna osób niepełnosprawnych</t>
  </si>
  <si>
    <t>85311</t>
  </si>
  <si>
    <t>Żłobki</t>
  </si>
  <si>
    <t>85305</t>
  </si>
  <si>
    <t>POZOSTAŁE  ZADANIA  W ZAKRESIE POLITYKI  SPOŁECZNEJ</t>
  </si>
  <si>
    <t>853</t>
  </si>
  <si>
    <t>Dotacja celowa z budżetu na finansowanie lub dofinansowanie zadań zleconych do realizacji  pozostałym  jednostkom  niezaliczanym do sektora finansów publicznych</t>
  </si>
  <si>
    <t>85295</t>
  </si>
  <si>
    <t>Świadczenia społeczne</t>
  </si>
  <si>
    <t>3110</t>
  </si>
  <si>
    <t>Dodatki mieszkaniowe</t>
  </si>
  <si>
    <t>85215</t>
  </si>
  <si>
    <t>POMOC  SPOŁECZNA</t>
  </si>
  <si>
    <t>852</t>
  </si>
  <si>
    <t>85195</t>
  </si>
  <si>
    <t>Wydatki na zakupy inwestycyjne jednostek budżetowych</t>
  </si>
  <si>
    <t>6060</t>
  </si>
  <si>
    <t>Szkolenia pracowników niebędących członkami korpusu służby cywilnej</t>
  </si>
  <si>
    <t>4700</t>
  </si>
  <si>
    <t>Odpisy na zakładowy fundusz świadczeń socjalnych</t>
  </si>
  <si>
    <t>4440</t>
  </si>
  <si>
    <t>Podróże służbowe krajowe</t>
  </si>
  <si>
    <t>4410</t>
  </si>
  <si>
    <t>4370</t>
  </si>
  <si>
    <t xml:space="preserve">Zakup usług dostępu do sieci Internet                                        </t>
  </si>
  <si>
    <t>4350</t>
  </si>
  <si>
    <t>Zakup usług zdrowotnych</t>
  </si>
  <si>
    <t>4280</t>
  </si>
  <si>
    <t>Zakup usług remontowych</t>
  </si>
  <si>
    <t>Wynagrodzenia  bezosobowe</t>
  </si>
  <si>
    <t>4170</t>
  </si>
  <si>
    <t>Składki na Fundusz Pracy</t>
  </si>
  <si>
    <t>4120</t>
  </si>
  <si>
    <t>Składki  na  ubezpieczenia  społeczne</t>
  </si>
  <si>
    <t>Dodatkowe wynagrodzenie roczne</t>
  </si>
  <si>
    <t>4040</t>
  </si>
  <si>
    <t>Wynagrodzenia osobowe pracowników</t>
  </si>
  <si>
    <t>4010</t>
  </si>
  <si>
    <t>Wydatki  osobowe  niezaliczone do wynagrodzeń</t>
  </si>
  <si>
    <t>3020</t>
  </si>
  <si>
    <t>Przeciwdziałanie alkoholizmowi</t>
  </si>
  <si>
    <t>85154</t>
  </si>
  <si>
    <t>Wynagrodzenia bezosobowe</t>
  </si>
  <si>
    <t>Zwalczanie  narkomanii</t>
  </si>
  <si>
    <t>85153</t>
  </si>
  <si>
    <t>Dotacja podmiotowa z budżetu dla samodzielnego publicznego zakładu opieki zdrowotnej utworzonego przez jednostkę samorządu terytorialnego</t>
  </si>
  <si>
    <t>2560</t>
  </si>
  <si>
    <t>Lecznictwo ambulatoryjne</t>
  </si>
  <si>
    <t>85121</t>
  </si>
  <si>
    <t>6300</t>
  </si>
  <si>
    <t>Szpitale  ogólne</t>
  </si>
  <si>
    <t>85111</t>
  </si>
  <si>
    <t>OCHRONA  ZDROWIA</t>
  </si>
  <si>
    <t>851</t>
  </si>
  <si>
    <t>Licea  ogólnokształcące</t>
  </si>
  <si>
    <t>80120</t>
  </si>
  <si>
    <t>Dotacja podmiotowa z budżetu dla niepublicznej jednostki systemu oświaty</t>
  </si>
  <si>
    <t>2540</t>
  </si>
  <si>
    <t>Gimnazja</t>
  </si>
  <si>
    <t>80110</t>
  </si>
  <si>
    <t>Przedszkola</t>
  </si>
  <si>
    <t>80104</t>
  </si>
  <si>
    <t>Wydatki inwestycyjne jednostek budżetowych  z tego:</t>
  </si>
  <si>
    <t>Szkoły podstawowe</t>
  </si>
  <si>
    <t>80101</t>
  </si>
  <si>
    <t>OŚWIATA  I  WYCHOWANIE</t>
  </si>
  <si>
    <t>801</t>
  </si>
  <si>
    <t>Wpłaty  jednostek  samorządu terytorialnego do  budżetu  państwa</t>
  </si>
  <si>
    <t>2930</t>
  </si>
  <si>
    <t>Część  równoważąca  subwencji  ogólnej  dla  gmin</t>
  </si>
  <si>
    <t>75831</t>
  </si>
  <si>
    <t>Rezerwy</t>
  </si>
  <si>
    <t>4810</t>
  </si>
  <si>
    <t>Rezerwy ogólne i celowe</t>
  </si>
  <si>
    <t>75818</t>
  </si>
  <si>
    <t>RÓŻNE ROZLICZENIA</t>
  </si>
  <si>
    <t>758</t>
  </si>
  <si>
    <t>8110</t>
  </si>
  <si>
    <t>Obsługa papierów wartościowych, kredytów i pożyczek jednostek samorządu terytorialnego</t>
  </si>
  <si>
    <t>75702</t>
  </si>
  <si>
    <t>OBSŁUGA  DŁUGU  PUBLICZNEGO</t>
  </si>
  <si>
    <t>757</t>
  </si>
  <si>
    <t>Składki  na  ubezpieczenia społeczne</t>
  </si>
  <si>
    <t>Wynagrodzenia  agencyjno-prowizyjne</t>
  </si>
  <si>
    <t>4100</t>
  </si>
  <si>
    <t>Pobór  podatków, opłat  i  niepodatkowych  należności  budżetowych</t>
  </si>
  <si>
    <t>75647</t>
  </si>
  <si>
    <t>Dochody  od  osób  prawnych, od  osób  fizycznych  i  od  innych  jednostek  nieposiadających  osobowości  prawnej  oraz  wydatki  związane  z  ich  poborem</t>
  </si>
  <si>
    <t>756</t>
  </si>
  <si>
    <t>75495</t>
  </si>
  <si>
    <t>Obrona cywilna</t>
  </si>
  <si>
    <t>75414</t>
  </si>
  <si>
    <t xml:space="preserve">Wydatki na  zakupy inwestycyjne jednostek budżetowych </t>
  </si>
  <si>
    <t>4360</t>
  </si>
  <si>
    <t>Zakup środków żywności</t>
  </si>
  <si>
    <t>4220</t>
  </si>
  <si>
    <t>Różne wydatki na rzecz osób fizycznych</t>
  </si>
  <si>
    <t>3030</t>
  </si>
  <si>
    <t>Ochotnicze straże pożarne</t>
  </si>
  <si>
    <t>75412</t>
  </si>
  <si>
    <t>Komendy powiatowe Państwowej Straży Pożarnej</t>
  </si>
  <si>
    <t>75411</t>
  </si>
  <si>
    <t>3000</t>
  </si>
  <si>
    <t>Komendy  wojewódzkie  Policji</t>
  </si>
  <si>
    <t>75404</t>
  </si>
  <si>
    <t>BEZPIECZEŃSTWO PUBLICZNE I OCHRONA PRZECIWPOŻAROWA</t>
  </si>
  <si>
    <t>754</t>
  </si>
  <si>
    <t xml:space="preserve">Urzędy naczelnych organów władzy państwowej, kontroli i ochrony prawa </t>
  </si>
  <si>
    <t>75101</t>
  </si>
  <si>
    <t>URZĘDY NACZELNYCH ORGANÓW WŁADZY PAŃSTWOWEJ, KONTROLI, OCHRONY PRAWA ORAZ SĄDOWNICTWA</t>
  </si>
  <si>
    <t>751</t>
  </si>
  <si>
    <t>Zakup usług  pozostałych</t>
  </si>
  <si>
    <t>Zakup  energii</t>
  </si>
  <si>
    <t>75095</t>
  </si>
  <si>
    <t>Promocja jednostek samorządu terytorialnego</t>
  </si>
  <si>
    <t>75075</t>
  </si>
  <si>
    <t>Podróże służbowe zagraniczne</t>
  </si>
  <si>
    <t>4420</t>
  </si>
  <si>
    <t>Zakup usług obejmujących wykonanie ekspertyz, analiz i opinii</t>
  </si>
  <si>
    <t>4390</t>
  </si>
  <si>
    <t xml:space="preserve">Zakup usług remontowych,                                                   </t>
  </si>
  <si>
    <t>Wpłaty na Państwowy Fundusz Rehabilitacji Osób Niepełnosprawnych</t>
  </si>
  <si>
    <t>4140</t>
  </si>
  <si>
    <t>Urzędy gmin</t>
  </si>
  <si>
    <t>75023</t>
  </si>
  <si>
    <t>Rady gmin</t>
  </si>
  <si>
    <t>75022</t>
  </si>
  <si>
    <t>Urzędy  wojewódzkie</t>
  </si>
  <si>
    <t>75011</t>
  </si>
  <si>
    <t>ADMINISTRACJA  PUBLICZNA</t>
  </si>
  <si>
    <t>750</t>
  </si>
  <si>
    <t xml:space="preserve">Zakup usług pozostałych                                                               </t>
  </si>
  <si>
    <t>Plany zagospodarowania przestrzennego</t>
  </si>
  <si>
    <t>71004</t>
  </si>
  <si>
    <t>DZIAŁALNOŚĆ  USŁUGOWA</t>
  </si>
  <si>
    <t>710</t>
  </si>
  <si>
    <t>Koszty postępowania sądowego i prokuratorskiego</t>
  </si>
  <si>
    <t>4610</t>
  </si>
  <si>
    <t>Kary i odszkodowania wypłacane na rzecz osób fizycznych</t>
  </si>
  <si>
    <t>4590</t>
  </si>
  <si>
    <t>Różne opłaty i składki</t>
  </si>
  <si>
    <t>4400</t>
  </si>
  <si>
    <t xml:space="preserve">Zakup usług pozostałych                                                         </t>
  </si>
  <si>
    <t>Gospodarka gruntami i nieruchomościami</t>
  </si>
  <si>
    <t>70005</t>
  </si>
  <si>
    <t>GOSPODARKA  MIESZKANIOWA</t>
  </si>
  <si>
    <t>700</t>
  </si>
  <si>
    <t>Wydatki  inwestycyjne  jednostek  budżetowych,   z tego:</t>
  </si>
  <si>
    <t xml:space="preserve">Zakup usług pozostałych                                                        </t>
  </si>
  <si>
    <t>Zakup   usług  remontowych</t>
  </si>
  <si>
    <t xml:space="preserve">Zakup  materiałów  i  wyposażenia                                  </t>
  </si>
  <si>
    <t>Drogi publiczne gminne</t>
  </si>
  <si>
    <t>60016</t>
  </si>
  <si>
    <t>Drogi publiczne powiatowe</t>
  </si>
  <si>
    <t>60014</t>
  </si>
  <si>
    <t>TRANSPORT  I ŁĄCZNOŚĆ</t>
  </si>
  <si>
    <t>600</t>
  </si>
  <si>
    <t>Dostarczanie wody</t>
  </si>
  <si>
    <t>40002</t>
  </si>
  <si>
    <t>400</t>
  </si>
  <si>
    <t>Zakup  usług  pozostałych</t>
  </si>
  <si>
    <t>01095</t>
  </si>
  <si>
    <t>Izby rolnicze</t>
  </si>
  <si>
    <t>01030</t>
  </si>
  <si>
    <t>ROLNICTWO I ŁOWIECTWO</t>
  </si>
  <si>
    <t>010</t>
  </si>
  <si>
    <t xml:space="preserve">Nazwa  </t>
  </si>
  <si>
    <t>Paragraf</t>
  </si>
  <si>
    <t>Rozdział</t>
  </si>
  <si>
    <t>Dział</t>
  </si>
  <si>
    <t>85212</t>
  </si>
  <si>
    <t>Dodatkowe wynagrodzenia roczne</t>
  </si>
  <si>
    <t>Składki na ubezpieczenia społeczne</t>
  </si>
  <si>
    <t>Podróże słuzbowe krajowe</t>
  </si>
  <si>
    <t>85213</t>
  </si>
  <si>
    <t>4130</t>
  </si>
  <si>
    <t>Składki na ubezpieczenie zdrowotne</t>
  </si>
  <si>
    <t>85214</t>
  </si>
  <si>
    <t>Zasiłki i pomoc w naturze oraz składki na ubezpieczenia emerytalne i rentowe</t>
  </si>
  <si>
    <t>4330</t>
  </si>
  <si>
    <t>Zakup usług przez jednostki samorzadu terytorialnego od innych jednostek samorządu terytorialnego</t>
  </si>
  <si>
    <t>85219</t>
  </si>
  <si>
    <t>Ośrodki Pomocy Społecznej</t>
  </si>
  <si>
    <t>4019</t>
  </si>
  <si>
    <t>4049</t>
  </si>
  <si>
    <t>4119</t>
  </si>
  <si>
    <t>4129</t>
  </si>
  <si>
    <t>4219</t>
  </si>
  <si>
    <t>4449</t>
  </si>
  <si>
    <t>85228</t>
  </si>
  <si>
    <t>Usługi  opiekuńcze  i  specjalistyczne  usługi  opiekuńcze</t>
  </si>
  <si>
    <t>4240</t>
  </si>
  <si>
    <t>Zakup pomocy naukowych, dydaktycznych i książek</t>
  </si>
  <si>
    <t>80103</t>
  </si>
  <si>
    <t>80113</t>
  </si>
  <si>
    <t>80146</t>
  </si>
  <si>
    <t>Dokształcanie  i  doskonalenie  nauczycieli</t>
  </si>
  <si>
    <t>Zakup  materiałów  i  wyposażenia</t>
  </si>
  <si>
    <t>Podróże  służbowe  krajowe</t>
  </si>
  <si>
    <t>80148</t>
  </si>
  <si>
    <t>80195</t>
  </si>
  <si>
    <t>854</t>
  </si>
  <si>
    <t>Edukacyjna opieka wychowawcza</t>
  </si>
  <si>
    <t>85407</t>
  </si>
  <si>
    <t>Placówki wychowania pozaszkolnego</t>
  </si>
  <si>
    <t>Wydatki osobowe  niezaliczane do wynagrodzeń</t>
  </si>
  <si>
    <t>85415</t>
  </si>
  <si>
    <t>Pomoc matrialna dla uczniów</t>
  </si>
  <si>
    <t>3240</t>
  </si>
  <si>
    <t>Stypendia dla uczniów</t>
  </si>
  <si>
    <t>85446</t>
  </si>
  <si>
    <t>85495</t>
  </si>
  <si>
    <t>Wpłaty gmin na rzecz izb rolniczych w wysokości 2% uzyskanych wpływów z podatku rolnego</t>
  </si>
  <si>
    <t>Wydatki na zakupy i objęcie akcji, wniesienie wkładów do spółek prawa handlowego oraz na uzupełenienie funduszy statutowych banków państwowych i innych instytucji finansowych</t>
  </si>
  <si>
    <t xml:space="preserve">Wydatki  inwestycyjne  jednostek  budżetowych,  </t>
  </si>
  <si>
    <t>4179</t>
  </si>
  <si>
    <t>4269</t>
  </si>
  <si>
    <t>80130</t>
  </si>
  <si>
    <t>Szkoły zawodowe</t>
  </si>
  <si>
    <t>3119</t>
  </si>
  <si>
    <t>75421</t>
  </si>
  <si>
    <t>Zarządzanie kryzysowe</t>
  </si>
  <si>
    <t>80132</t>
  </si>
  <si>
    <t>Szkoły artystyczne</t>
  </si>
  <si>
    <t>6019</t>
  </si>
  <si>
    <t>6639</t>
  </si>
  <si>
    <t>2710</t>
  </si>
  <si>
    <t>85202</t>
  </si>
  <si>
    <t>Domy pomocy społecznej</t>
  </si>
  <si>
    <t>6059</t>
  </si>
  <si>
    <t>Wydatki inwestycyjne jednostek budżetowych ( współfinansowanie)</t>
  </si>
  <si>
    <t>92120</t>
  </si>
  <si>
    <t>Ochrona zabytków i opieka nad zabytkami</t>
  </si>
  <si>
    <t>4500</t>
  </si>
  <si>
    <t>Pozostałe podatki na rzecz budżetów jednostek samorządu terytorialnego</t>
  </si>
  <si>
    <t>Wpłaty gmin i powiatów na rzecz innych jednostek samorządu terytorialnego  oraz związków gmin lub związków powiatów na dofinansowanie zadań bieżących</t>
  </si>
  <si>
    <t>85216</t>
  </si>
  <si>
    <t>Zasiłki stałe</t>
  </si>
  <si>
    <t>4017</t>
  </si>
  <si>
    <t>85395</t>
  </si>
  <si>
    <t>4047</t>
  </si>
  <si>
    <t>4117</t>
  </si>
  <si>
    <t>4127</t>
  </si>
  <si>
    <t>4217</t>
  </si>
  <si>
    <t>4267</t>
  </si>
  <si>
    <t>4307</t>
  </si>
  <si>
    <t>4377</t>
  </si>
  <si>
    <t>4379</t>
  </si>
  <si>
    <t>4447</t>
  </si>
  <si>
    <t>6017</t>
  </si>
  <si>
    <t>90019</t>
  </si>
  <si>
    <t>2960</t>
  </si>
  <si>
    <t>Wpływy i wydatki związane z gromadzeniem środków z opłat i kar za korzystanie ze środowiska</t>
  </si>
  <si>
    <t>Przelewy redystrybucyjne</t>
  </si>
  <si>
    <t>6057</t>
  </si>
  <si>
    <t>4177</t>
  </si>
  <si>
    <t xml:space="preserve"> </t>
  </si>
  <si>
    <t>4309</t>
  </si>
  <si>
    <t>Zakup wiat przystankowych</t>
  </si>
  <si>
    <t>4247</t>
  </si>
  <si>
    <t>4249</t>
  </si>
  <si>
    <t>4357</t>
  </si>
  <si>
    <t>4359</t>
  </si>
  <si>
    <t>4367</t>
  </si>
  <si>
    <t>4369</t>
  </si>
  <si>
    <t>4417</t>
  </si>
  <si>
    <t>4419</t>
  </si>
  <si>
    <t>Zakup usług dostępu do sieci Internet</t>
  </si>
  <si>
    <t>71035</t>
  </si>
  <si>
    <t>Cmentarze</t>
  </si>
  <si>
    <t>Opłaty z tytułu zakupu usług telekomunikacyjnych świadczonych w ruchomej publicznej sieci telefonicznej</t>
  </si>
  <si>
    <t>Opłaty z tytułu zakupu usług telekomunikacyjnych świadczonych w stacjonarnej  publicznej sieci telefonicznej</t>
  </si>
  <si>
    <t xml:space="preserve">Wykonanie za 9 m-cy </t>
  </si>
  <si>
    <t>OGÓŁEM</t>
  </si>
  <si>
    <t>Planowane wydatki Gminy Kozienice na 2011 rok</t>
  </si>
  <si>
    <t>PT i budowa ulicy Jeziornej</t>
  </si>
  <si>
    <t>PT i budowa ul.Wspólnej i Pogodnej w Aleksandrówce</t>
  </si>
  <si>
    <t xml:space="preserve">Budowa drogi w m.Janów II </t>
  </si>
  <si>
    <t>Budowa ul.Prostej w m.Aleksandrówka</t>
  </si>
  <si>
    <t>PT budowy chodnika łączącego chodnik przy bloku nr 3 z chodnikiem przy bloku nr 10 w m. Świerże Górne</t>
  </si>
  <si>
    <t>PT budowy drogi od drogi powiatowej do Łaszówki</t>
  </si>
  <si>
    <t>PT i budowa ul. Podgórze w m. Nowiny</t>
  </si>
  <si>
    <t>PT i przebudowa parkingu wraz z infrastrukturą przy PSP nr 3</t>
  </si>
  <si>
    <t>PT i  przebudowa ul.Świerczewskiego i Kilińskiego</t>
  </si>
  <si>
    <t xml:space="preserve">PT i przebudowa ul. Boh. Getta  wraz z infrastrukturą </t>
  </si>
  <si>
    <t>PT ul. Podlesie od drogi wojewódzkiej do działki nr 571</t>
  </si>
  <si>
    <t>PT i termomodernizacja budynków przy ul. Warszawskiej 19; 63</t>
  </si>
  <si>
    <t>PT i adaptacja budynku w m.Ryczywół na lokal socjalny</t>
  </si>
  <si>
    <t>Budowa chodnika na terenie OSP w m. Świerze Górne</t>
  </si>
  <si>
    <t>PT i budowa placu zabaw w ramach programu Radosna Szkoła w PSP Wola Chodkowska</t>
  </si>
  <si>
    <t>PT i budowa sali gimnastycznej przy PSP Nr 1 w Kozienicach</t>
  </si>
  <si>
    <t>PT i budowa węzła ciepłowniczego w Przedszkolu Nr 5, budowa instalacji co i c.w.u. wraz z robotami towarzyszącymi</t>
  </si>
  <si>
    <t xml:space="preserve">PT i termomodernizacja budynku Przedszkola Nr 2 </t>
  </si>
  <si>
    <t>PT i budowa żłobka</t>
  </si>
  <si>
    <t>PT, modernizacja, rozbudowa, budowa oświetlenia ulicznego na terenie Gminy Kozienice  na energooszczędne</t>
  </si>
  <si>
    <t>PT i budowa sieci ciepłowniczej w Kozienicach na potrzeby Ogrodu Jordanowskiego i budynków Zespołu Pałacowo Parkowego</t>
  </si>
  <si>
    <t>92601</t>
  </si>
  <si>
    <t>Obiekty sportowe</t>
  </si>
  <si>
    <t xml:space="preserve">PT, budowa, rozbudowa, przebudowa obiektów Kozienickiego Centrum </t>
  </si>
  <si>
    <t>Wykup gruntów pod inwestycje</t>
  </si>
  <si>
    <t>PT i budowa placu zabaw w ramach programu Radosna Szkoła w PSP Brzeźnica</t>
  </si>
  <si>
    <t>Zakup  środków żywności</t>
  </si>
  <si>
    <t>4520</t>
  </si>
  <si>
    <t>Opłaty na rzecz budżetów  jednostek samorządu terytorialnego</t>
  </si>
  <si>
    <t>Dotacja celowa na pomoc finansową udzielaną między jednostkami samorządu terytorialnego na dofinanowanie własnych zadań inwestycyjnych i zakupów inwestycyjnych</t>
  </si>
  <si>
    <t>Wytwarzanie i zaopatrywanie w energię elektryczną, gaz i wodę</t>
  </si>
  <si>
    <t>92109</t>
  </si>
  <si>
    <t>Domy i ośrodki kultury, świetlice i kluby</t>
  </si>
  <si>
    <t>4480</t>
  </si>
  <si>
    <t>Podatek od nieruchomości</t>
  </si>
  <si>
    <t>Dotacje celowe przekazane do samorządu województwa na inwestycje i zakupy inwestycyjne realizowane na podstawie porozumień (umów) między jednostkami samorzadu terytorialnego</t>
  </si>
  <si>
    <t>w tym:</t>
  </si>
  <si>
    <t xml:space="preserve">bieżące </t>
  </si>
  <si>
    <t>majątkowe</t>
  </si>
  <si>
    <t xml:space="preserve">Termomodernizacja hali sportowej Kozienickiego Centrum </t>
  </si>
  <si>
    <t>PT i przebudowa ulic na Osiedlu Borki I wraz z infrastrukturą (Borki, Przytulna, Przyjaciół)</t>
  </si>
  <si>
    <t>Oddziały przedszkolne w szkołach podstawowych</t>
  </si>
  <si>
    <t>PT, przebudowa obiektów mostowych w ciągu dróg gminnych (Nowa Wieś, H.Kozienickie, Dąbrówki, Wójtostwo, Przewóz)</t>
  </si>
  <si>
    <t>Opłaty za administrowanie i czynsze za budynki, lokale i pom. garażowe</t>
  </si>
  <si>
    <t>Modernizacja instalacji cieplnej w budynku Przychodni na Osiedlu Energetyki</t>
  </si>
  <si>
    <t xml:space="preserve">Renowacja zabytkowej oficyny, budynku wieży, zbiornika fontanny  w Zespole Pałacowym w Kozienicach </t>
  </si>
  <si>
    <t>PT i budowa drogi w m. Wójtostwo</t>
  </si>
  <si>
    <t>Przebudowa dróg, parkingów wraz z infrastrukturą towarzyszącą na Osiedlu  Pokoju</t>
  </si>
  <si>
    <t>PT i budowa drogi przywałowej w m. Kępeczki</t>
  </si>
  <si>
    <t xml:space="preserve">PT, przebudowa, budowa chodników, miejsc parkingowych na terenie miasta i gminy Kozienice </t>
  </si>
  <si>
    <t xml:space="preserve">Wydatki inwestycyjne jednostek budżetowych </t>
  </si>
  <si>
    <t xml:space="preserve">Budowa placu zabaw  przy PSP w Janikowie </t>
  </si>
  <si>
    <t>Opracowanie planu zaopatrzenia w ciepło, energię elektryczną i paliwa gazowe</t>
  </si>
  <si>
    <t>PT  toalet miejskich</t>
  </si>
  <si>
    <t>Dowożenie  uczniów do szkół</t>
  </si>
  <si>
    <t>Dotacje celowe przekazane na pomoc finansową udzielaną między jednostkami samorządu terytorialnego na dofinansowanie własnych zadań bieżących</t>
  </si>
  <si>
    <t>Termomodernizacja i rozbudowa OSP w m. Stanisławice</t>
  </si>
  <si>
    <t>Dotacja celowa na pomoc finansową udzielaną między jednostkami samorządu terytorialnego na dofinansowanie własnych zadań bieżących</t>
  </si>
  <si>
    <t>Stołówki szkolne i przedszkolne</t>
  </si>
  <si>
    <t xml:space="preserve">Świadczenia rodzinne, świadczenia z funduszu alimementacyjnego oraz składki na ubezpieczenia emerytalne i rentowe z ubezpieczenia społecznego </t>
  </si>
  <si>
    <t xml:space="preserve">Wpłaty  jednostek  na państwowy  fundusz celowy </t>
  </si>
  <si>
    <t>Odsetki od samorządowych papierów wartościowych lub zaciągniętych przez jednostkę samorzadu terytorialnego kredytów i pożyczek</t>
  </si>
  <si>
    <t>Składki na ubezpieczenia zdrowotne opłacane za osoby pobierające niektóre świadczenia z pomocy społecznej, niektóre  świadczenia  rodzinne oraz za osoby uczestniczące w zajęciach w centrum integracji społecznej</t>
  </si>
  <si>
    <t>PT i budowa placu zabaw w m. Ruda i Śmietanki</t>
  </si>
  <si>
    <t>Przebudowa ulicy Kopernika</t>
  </si>
  <si>
    <t>PT i budowa drogi Zdziczów - Opatkowice</t>
  </si>
  <si>
    <t xml:space="preserve">PT i modernizacja drogi w Janikowie do torów </t>
  </si>
  <si>
    <t>Budowa drogi w Nowej Wsi</t>
  </si>
  <si>
    <t>PT przebudowy ul. Kościuszki od ul. Hamernickiej do ul. Waryńskiego</t>
  </si>
  <si>
    <t>PT i budowa kanalizacji deszczowej na terenie Gminy Kozienice: ul.Ciekawa, Warszawska- bis, Dębowa, Świerkowa</t>
  </si>
  <si>
    <t>Zagospodarowanie terenu w m. Nowa Wieś i m. Wilczkowice Górne na potrzeby lokalnej społeczności</t>
  </si>
  <si>
    <t>PT połączenia Jeziora Kozienickiego z Jeziorem Opatkowickim</t>
  </si>
  <si>
    <t xml:space="preserve">KULTURA FIZYCZNA </t>
  </si>
  <si>
    <t>Przewodniczący  Rady  Miejskiej</t>
  </si>
  <si>
    <t xml:space="preserve">                Mariusz  Prawda</t>
  </si>
</sst>
</file>

<file path=xl/styles.xml><?xml version="1.0" encoding="utf-8"?>
<styleSheet xmlns="http://schemas.openxmlformats.org/spreadsheetml/2006/main">
  <numFmts count="4">
    <numFmt numFmtId="43" formatCode="_-* #,##0.00\ _z_ł_-;\-* #,##0.00\ _z_ł_-;_-* &quot;-&quot;??\ _z_ł_-;_-@_-"/>
    <numFmt numFmtId="164" formatCode="#,##0.00_ ;\-#,##0.00\ "/>
    <numFmt numFmtId="165" formatCode="0.0%"/>
    <numFmt numFmtId="166" formatCode="#,##0.0"/>
  </numFmts>
  <fonts count="34">
    <font>
      <sz val="10"/>
      <name val="Arial CE"/>
      <charset val="238"/>
    </font>
    <font>
      <b/>
      <sz val="11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4"/>
      <name val="Arial CE"/>
      <family val="2"/>
      <charset val="238"/>
    </font>
    <font>
      <b/>
      <sz val="16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family val="2"/>
      <charset val="238"/>
    </font>
    <font>
      <b/>
      <sz val="13"/>
      <name val="Arial CE"/>
      <family val="2"/>
      <charset val="238"/>
    </font>
    <font>
      <i/>
      <sz val="11"/>
      <name val="Arial CE"/>
      <family val="2"/>
      <charset val="238"/>
    </font>
    <font>
      <sz val="13"/>
      <name val="Arial CE"/>
      <family val="2"/>
      <charset val="238"/>
    </font>
    <font>
      <sz val="11"/>
      <name val="Arial CE"/>
      <charset val="238"/>
    </font>
    <font>
      <sz val="12"/>
      <name val="Arial CE"/>
      <family val="2"/>
      <charset val="238"/>
    </font>
    <font>
      <b/>
      <sz val="18"/>
      <name val="Arial CE"/>
      <family val="2"/>
      <charset val="238"/>
    </font>
    <font>
      <sz val="10"/>
      <name val="Arial CE"/>
      <charset val="238"/>
    </font>
    <font>
      <b/>
      <sz val="12"/>
      <name val="Arial CE"/>
      <charset val="238"/>
    </font>
    <font>
      <sz val="12"/>
      <name val="Arial CE"/>
      <charset val="238"/>
    </font>
    <font>
      <b/>
      <sz val="11"/>
      <name val="Arial CE"/>
      <charset val="238"/>
    </font>
    <font>
      <b/>
      <i/>
      <sz val="11"/>
      <name val="Arial CE"/>
      <charset val="238"/>
    </font>
    <font>
      <b/>
      <sz val="10"/>
      <name val="Arial CE"/>
      <charset val="238"/>
    </font>
    <font>
      <i/>
      <sz val="11"/>
      <name val="Arial CE"/>
      <charset val="238"/>
    </font>
    <font>
      <sz val="13"/>
      <name val="Arial CE"/>
      <charset val="238"/>
    </font>
    <font>
      <b/>
      <sz val="13"/>
      <name val="Arial CE"/>
      <charset val="238"/>
    </font>
    <font>
      <b/>
      <i/>
      <sz val="12"/>
      <name val="Arial CE"/>
      <charset val="238"/>
    </font>
    <font>
      <i/>
      <sz val="12"/>
      <name val="Arial CE"/>
      <charset val="238"/>
    </font>
    <font>
      <i/>
      <sz val="13"/>
      <name val="Arial CE"/>
      <charset val="238"/>
    </font>
    <font>
      <b/>
      <i/>
      <sz val="13"/>
      <name val="Arial CE"/>
      <charset val="238"/>
    </font>
    <font>
      <i/>
      <sz val="10"/>
      <name val="Arial CE"/>
      <charset val="238"/>
    </font>
    <font>
      <b/>
      <i/>
      <sz val="10"/>
      <name val="Arial CE"/>
      <charset val="238"/>
    </font>
    <font>
      <sz val="11"/>
      <name val="Arial"/>
      <family val="2"/>
      <charset val="238"/>
    </font>
    <font>
      <b/>
      <i/>
      <sz val="9"/>
      <name val="Arial CE"/>
      <charset val="238"/>
    </font>
    <font>
      <sz val="14"/>
      <name val="Arial CE"/>
      <charset val="238"/>
    </font>
    <font>
      <b/>
      <sz val="14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5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43" fontId="15" fillId="0" borderId="0" applyFont="0" applyFill="0" applyBorder="0" applyAlignment="0" applyProtection="0"/>
    <xf numFmtId="9" fontId="15" fillId="0" borderId="0" applyFont="0" applyFill="0" applyBorder="0" applyAlignment="0" applyProtection="0"/>
  </cellStyleXfs>
  <cellXfs count="410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3" fontId="0" fillId="0" borderId="0" xfId="0" applyNumberFormat="1" applyAlignment="1">
      <alignment vertical="center"/>
    </xf>
    <xf numFmtId="3" fontId="4" fillId="0" borderId="0" xfId="0" applyNumberFormat="1" applyFont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horizontal="center" vertical="center"/>
    </xf>
    <xf numFmtId="3" fontId="0" fillId="0" borderId="0" xfId="0" applyNumberFormat="1" applyBorder="1" applyAlignment="1">
      <alignment vertical="center"/>
    </xf>
    <xf numFmtId="0" fontId="0" fillId="0" borderId="4" xfId="0" applyBorder="1" applyAlignment="1">
      <alignment vertical="center"/>
    </xf>
    <xf numFmtId="4" fontId="8" fillId="0" borderId="13" xfId="0" applyNumberFormat="1" applyFont="1" applyBorder="1" applyAlignment="1">
      <alignment vertical="center" wrapText="1"/>
    </xf>
    <xf numFmtId="3" fontId="0" fillId="0" borderId="4" xfId="0" applyNumberFormat="1" applyBorder="1" applyAlignment="1">
      <alignment vertical="center"/>
    </xf>
    <xf numFmtId="0" fontId="3" fillId="0" borderId="0" xfId="0" applyFont="1" applyBorder="1"/>
    <xf numFmtId="49" fontId="6" fillId="0" borderId="0" xfId="0" applyNumberFormat="1" applyFont="1" applyBorder="1" applyAlignment="1">
      <alignment horizontal="center" vertical="center"/>
    </xf>
    <xf numFmtId="0" fontId="0" fillId="0" borderId="24" xfId="0" applyBorder="1" applyAlignment="1">
      <alignment vertical="center"/>
    </xf>
    <xf numFmtId="49" fontId="9" fillId="0" borderId="24" xfId="0" applyNumberFormat="1" applyFont="1" applyBorder="1" applyAlignment="1">
      <alignment vertical="center"/>
    </xf>
    <xf numFmtId="4" fontId="9" fillId="0" borderId="13" xfId="0" applyNumberFormat="1" applyFont="1" applyBorder="1" applyAlignment="1">
      <alignment vertical="center" wrapText="1"/>
    </xf>
    <xf numFmtId="4" fontId="9" fillId="0" borderId="25" xfId="0" applyNumberFormat="1" applyFont="1" applyBorder="1" applyAlignment="1">
      <alignment vertical="center" wrapText="1"/>
    </xf>
    <xf numFmtId="49" fontId="7" fillId="0" borderId="8" xfId="0" applyNumberFormat="1" applyFont="1" applyBorder="1" applyAlignment="1">
      <alignment horizontal="center" vertical="center"/>
    </xf>
    <xf numFmtId="4" fontId="9" fillId="0" borderId="0" xfId="0" applyNumberFormat="1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4" fontId="8" fillId="0" borderId="0" xfId="0" applyNumberFormat="1" applyFont="1" applyBorder="1" applyAlignment="1">
      <alignment vertical="center" wrapText="1"/>
    </xf>
    <xf numFmtId="4" fontId="7" fillId="0" borderId="0" xfId="0" applyNumberFormat="1" applyFont="1" applyBorder="1" applyAlignment="1">
      <alignment vertical="center" wrapText="1"/>
    </xf>
    <xf numFmtId="4" fontId="5" fillId="0" borderId="0" xfId="0" applyNumberFormat="1" applyFont="1" applyBorder="1" applyAlignment="1">
      <alignment vertical="center" wrapText="1"/>
    </xf>
    <xf numFmtId="3" fontId="20" fillId="0" borderId="0" xfId="0" applyNumberFormat="1" applyFont="1" applyBorder="1" applyAlignment="1">
      <alignment vertical="center"/>
    </xf>
    <xf numFmtId="0" fontId="24" fillId="0" borderId="4" xfId="0" applyFont="1" applyBorder="1" applyAlignment="1">
      <alignment vertical="center" wrapText="1"/>
    </xf>
    <xf numFmtId="49" fontId="21" fillId="0" borderId="8" xfId="0" applyNumberFormat="1" applyFont="1" applyBorder="1" applyAlignment="1">
      <alignment horizontal="center" vertical="center"/>
    </xf>
    <xf numFmtId="4" fontId="24" fillId="0" borderId="13" xfId="0" applyNumberFormat="1" applyFont="1" applyBorder="1" applyAlignment="1">
      <alignment vertical="center" wrapText="1"/>
    </xf>
    <xf numFmtId="3" fontId="12" fillId="0" borderId="0" xfId="0" applyNumberFormat="1" applyFont="1" applyBorder="1" applyAlignment="1">
      <alignment vertical="center"/>
    </xf>
    <xf numFmtId="3" fontId="20" fillId="0" borderId="0" xfId="0" applyNumberFormat="1" applyFont="1" applyAlignment="1">
      <alignment vertical="center"/>
    </xf>
    <xf numFmtId="0" fontId="2" fillId="0" borderId="19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4" fontId="0" fillId="0" borderId="0" xfId="0" applyNumberFormat="1" applyBorder="1" applyAlignment="1">
      <alignment vertical="center"/>
    </xf>
    <xf numFmtId="165" fontId="0" fillId="0" borderId="0" xfId="2" applyNumberFormat="1" applyFont="1" applyBorder="1" applyAlignment="1">
      <alignment vertical="center"/>
    </xf>
    <xf numFmtId="3" fontId="2" fillId="0" borderId="35" xfId="0" applyNumberFormat="1" applyFont="1" applyBorder="1" applyAlignment="1">
      <alignment horizontal="center" vertical="center"/>
    </xf>
    <xf numFmtId="0" fontId="32" fillId="0" borderId="0" xfId="0" applyFont="1" applyBorder="1" applyAlignment="1">
      <alignment vertical="center"/>
    </xf>
    <xf numFmtId="0" fontId="32" fillId="0" borderId="0" xfId="0" applyFont="1" applyAlignment="1">
      <alignment vertical="center"/>
    </xf>
    <xf numFmtId="43" fontId="8" fillId="0" borderId="0" xfId="1" applyFont="1" applyBorder="1" applyAlignment="1">
      <alignment horizontal="right" vertical="center" wrapText="1"/>
    </xf>
    <xf numFmtId="4" fontId="30" fillId="0" borderId="0" xfId="0" applyNumberFormat="1" applyFont="1" applyBorder="1" applyAlignment="1">
      <alignment vertical="center"/>
    </xf>
    <xf numFmtId="166" fontId="24" fillId="0" borderId="0" xfId="0" applyNumberFormat="1" applyFont="1" applyBorder="1" applyAlignment="1">
      <alignment vertical="center"/>
    </xf>
    <xf numFmtId="3" fontId="19" fillId="0" borderId="0" xfId="0" applyNumberFormat="1" applyFont="1" applyBorder="1" applyAlignment="1">
      <alignment vertical="center"/>
    </xf>
    <xf numFmtId="3" fontId="24" fillId="0" borderId="0" xfId="0" applyNumberFormat="1" applyFont="1" applyBorder="1" applyAlignment="1">
      <alignment vertical="center"/>
    </xf>
    <xf numFmtId="3" fontId="33" fillId="0" borderId="0" xfId="0" applyNumberFormat="1" applyFont="1" applyBorder="1" applyAlignment="1">
      <alignment vertical="center"/>
    </xf>
    <xf numFmtId="0" fontId="9" fillId="3" borderId="2" xfId="0" applyFont="1" applyFill="1" applyBorder="1" applyAlignment="1">
      <alignment horizontal="center" vertical="center"/>
    </xf>
    <xf numFmtId="0" fontId="9" fillId="3" borderId="9" xfId="0" applyFont="1" applyFill="1" applyBorder="1" applyAlignment="1">
      <alignment horizontal="center" vertical="center"/>
    </xf>
    <xf numFmtId="4" fontId="1" fillId="3" borderId="21" xfId="0" applyNumberFormat="1" applyFont="1" applyFill="1" applyBorder="1" applyAlignment="1">
      <alignment vertical="center"/>
    </xf>
    <xf numFmtId="4" fontId="9" fillId="3" borderId="34" xfId="0" applyNumberFormat="1" applyFont="1" applyFill="1" applyBorder="1" applyAlignment="1">
      <alignment vertical="center"/>
    </xf>
    <xf numFmtId="49" fontId="24" fillId="3" borderId="3" xfId="0" applyNumberFormat="1" applyFont="1" applyFill="1" applyBorder="1" applyAlignment="1">
      <alignment horizontal="center" vertical="center"/>
    </xf>
    <xf numFmtId="0" fontId="24" fillId="3" borderId="18" xfId="0" applyFont="1" applyFill="1" applyBorder="1" applyAlignment="1">
      <alignment horizontal="center" vertical="center" wrapText="1"/>
    </xf>
    <xf numFmtId="0" fontId="24" fillId="3" borderId="3" xfId="0" applyFont="1" applyFill="1" applyBorder="1" applyAlignment="1">
      <alignment vertical="center" wrapText="1"/>
    </xf>
    <xf numFmtId="4" fontId="19" fillId="3" borderId="35" xfId="0" applyNumberFormat="1" applyFont="1" applyFill="1" applyBorder="1" applyAlignment="1">
      <alignment vertical="center" wrapText="1"/>
    </xf>
    <xf numFmtId="4" fontId="7" fillId="3" borderId="29" xfId="0" applyNumberFormat="1" applyFont="1" applyFill="1" applyBorder="1" applyAlignment="1">
      <alignment vertical="center" wrapText="1"/>
    </xf>
    <xf numFmtId="0" fontId="12" fillId="3" borderId="8" xfId="0" applyFont="1" applyFill="1" applyBorder="1" applyAlignment="1">
      <alignment horizontal="center" vertical="center" wrapText="1"/>
    </xf>
    <xf numFmtId="0" fontId="12" fillId="3" borderId="4" xfId="0" applyFont="1" applyFill="1" applyBorder="1" applyAlignment="1">
      <alignment vertical="center" wrapText="1"/>
    </xf>
    <xf numFmtId="4" fontId="12" fillId="3" borderId="20" xfId="0" applyNumberFormat="1" applyFont="1" applyFill="1" applyBorder="1" applyAlignment="1">
      <alignment vertical="center" wrapText="1"/>
    </xf>
    <xf numFmtId="4" fontId="8" fillId="3" borderId="0" xfId="0" applyNumberFormat="1" applyFont="1" applyFill="1" applyBorder="1" applyAlignment="1">
      <alignment vertical="center" wrapText="1"/>
    </xf>
    <xf numFmtId="0" fontId="24" fillId="3" borderId="3" xfId="0" applyFont="1" applyFill="1" applyBorder="1" applyAlignment="1">
      <alignment vertical="center"/>
    </xf>
    <xf numFmtId="4" fontId="19" fillId="3" borderId="35" xfId="0" applyNumberFormat="1" applyFont="1" applyFill="1" applyBorder="1" applyAlignment="1">
      <alignment vertical="center"/>
    </xf>
    <xf numFmtId="4" fontId="7" fillId="3" borderId="29" xfId="0" applyNumberFormat="1" applyFont="1" applyFill="1" applyBorder="1" applyAlignment="1">
      <alignment vertical="center"/>
    </xf>
    <xf numFmtId="0" fontId="12" fillId="3" borderId="9" xfId="0" applyFont="1" applyFill="1" applyBorder="1" applyAlignment="1">
      <alignment horizontal="center" vertical="center" wrapText="1"/>
    </xf>
    <xf numFmtId="0" fontId="12" fillId="3" borderId="2" xfId="0" applyFont="1" applyFill="1" applyBorder="1" applyAlignment="1">
      <alignment vertical="center" wrapText="1"/>
    </xf>
    <xf numFmtId="4" fontId="12" fillId="3" borderId="21" xfId="0" applyNumberFormat="1" applyFont="1" applyFill="1" applyBorder="1" applyAlignment="1">
      <alignment vertical="center"/>
    </xf>
    <xf numFmtId="4" fontId="8" fillId="3" borderId="34" xfId="0" applyNumberFormat="1" applyFont="1" applyFill="1" applyBorder="1" applyAlignment="1">
      <alignment vertical="center"/>
    </xf>
    <xf numFmtId="0" fontId="12" fillId="3" borderId="1" xfId="0" applyFont="1" applyFill="1" applyBorder="1" applyAlignment="1">
      <alignment vertical="center" wrapText="1"/>
    </xf>
    <xf numFmtId="4" fontId="8" fillId="3" borderId="33" xfId="0" applyNumberFormat="1" applyFont="1" applyFill="1" applyBorder="1" applyAlignment="1">
      <alignment vertical="center"/>
    </xf>
    <xf numFmtId="0" fontId="12" fillId="3" borderId="1" xfId="0" applyFont="1" applyFill="1" applyBorder="1" applyAlignment="1">
      <alignment vertical="center"/>
    </xf>
    <xf numFmtId="4" fontId="12" fillId="3" borderId="22" xfId="0" applyNumberFormat="1" applyFont="1" applyFill="1" applyBorder="1" applyAlignment="1">
      <alignment vertical="center"/>
    </xf>
    <xf numFmtId="0" fontId="0" fillId="3" borderId="33" xfId="0" applyFill="1" applyBorder="1" applyAlignment="1">
      <alignment vertical="center"/>
    </xf>
    <xf numFmtId="49" fontId="16" fillId="3" borderId="19" xfId="0" applyNumberFormat="1" applyFont="1" applyFill="1" applyBorder="1" applyAlignment="1">
      <alignment horizontal="center" vertical="center"/>
    </xf>
    <xf numFmtId="49" fontId="18" fillId="3" borderId="3" xfId="0" applyNumberFormat="1" applyFont="1" applyFill="1" applyBorder="1" applyAlignment="1">
      <alignment horizontal="center" vertical="center"/>
    </xf>
    <xf numFmtId="0" fontId="18" fillId="3" borderId="18" xfId="0" applyFont="1" applyFill="1" applyBorder="1" applyAlignment="1">
      <alignment horizontal="center" vertical="center" wrapText="1"/>
    </xf>
    <xf numFmtId="0" fontId="16" fillId="3" borderId="3" xfId="0" applyFont="1" applyFill="1" applyBorder="1" applyAlignment="1">
      <alignment vertical="center"/>
    </xf>
    <xf numFmtId="4" fontId="18" fillId="3" borderId="35" xfId="0" applyNumberFormat="1" applyFont="1" applyFill="1" applyBorder="1" applyAlignment="1">
      <alignment vertical="center"/>
    </xf>
    <xf numFmtId="0" fontId="12" fillId="3" borderId="4" xfId="0" applyFont="1" applyFill="1" applyBorder="1" applyAlignment="1">
      <alignment vertical="center"/>
    </xf>
    <xf numFmtId="4" fontId="12" fillId="3" borderId="20" xfId="0" applyNumberFormat="1" applyFont="1" applyFill="1" applyBorder="1" applyAlignment="1">
      <alignment vertical="center"/>
    </xf>
    <xf numFmtId="4" fontId="8" fillId="3" borderId="0" xfId="0" applyNumberFormat="1" applyFont="1" applyFill="1" applyBorder="1" applyAlignment="1">
      <alignment vertical="center"/>
    </xf>
    <xf numFmtId="49" fontId="23" fillId="3" borderId="19" xfId="0" applyNumberFormat="1" applyFont="1" applyFill="1" applyBorder="1" applyAlignment="1">
      <alignment horizontal="center" vertical="center"/>
    </xf>
    <xf numFmtId="49" fontId="23" fillId="3" borderId="3" xfId="0" applyNumberFormat="1" applyFont="1" applyFill="1" applyBorder="1" applyAlignment="1">
      <alignment horizontal="center" vertical="center"/>
    </xf>
    <xf numFmtId="0" fontId="23" fillId="3" borderId="18" xfId="0" applyFont="1" applyFill="1" applyBorder="1" applyAlignment="1">
      <alignment horizontal="center" vertical="center" wrapText="1"/>
    </xf>
    <xf numFmtId="4" fontId="18" fillId="3" borderId="35" xfId="0" applyNumberFormat="1" applyFont="1" applyFill="1" applyBorder="1" applyAlignment="1">
      <alignment horizontal="right" vertical="center"/>
    </xf>
    <xf numFmtId="4" fontId="9" fillId="3" borderId="29" xfId="0" applyNumberFormat="1" applyFont="1" applyFill="1" applyBorder="1" applyAlignment="1">
      <alignment horizontal="right" vertical="center"/>
    </xf>
    <xf numFmtId="0" fontId="12" fillId="3" borderId="7" xfId="0" applyFont="1" applyFill="1" applyBorder="1" applyAlignment="1">
      <alignment horizontal="center" vertical="center" wrapText="1"/>
    </xf>
    <xf numFmtId="0" fontId="12" fillId="3" borderId="9" xfId="0" applyFont="1" applyFill="1" applyBorder="1" applyAlignment="1">
      <alignment vertical="center" wrapText="1"/>
    </xf>
    <xf numFmtId="4" fontId="12" fillId="3" borderId="21" xfId="0" applyNumberFormat="1" applyFont="1" applyFill="1" applyBorder="1" applyAlignment="1">
      <alignment vertical="center" wrapText="1"/>
    </xf>
    <xf numFmtId="4" fontId="8" fillId="3" borderId="34" xfId="0" applyNumberFormat="1" applyFont="1" applyFill="1" applyBorder="1" applyAlignment="1">
      <alignment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2" fillId="3" borderId="15" xfId="0" applyFont="1" applyFill="1" applyBorder="1" applyAlignment="1">
      <alignment vertical="center" wrapText="1"/>
    </xf>
    <xf numFmtId="0" fontId="12" fillId="3" borderId="2" xfId="0" applyFont="1" applyFill="1" applyBorder="1" applyAlignment="1">
      <alignment horizontal="center" vertical="center" wrapText="1"/>
    </xf>
    <xf numFmtId="0" fontId="21" fillId="3" borderId="9" xfId="0" applyFont="1" applyFill="1" applyBorder="1" applyAlignment="1">
      <alignment vertical="center"/>
    </xf>
    <xf numFmtId="4" fontId="21" fillId="3" borderId="21" xfId="0" applyNumberFormat="1" applyFont="1" applyFill="1" applyBorder="1" applyAlignment="1">
      <alignment vertical="center" wrapText="1"/>
    </xf>
    <xf numFmtId="4" fontId="21" fillId="3" borderId="34" xfId="0" applyNumberFormat="1" applyFont="1" applyFill="1" applyBorder="1" applyAlignment="1">
      <alignment horizontal="center" vertical="center" wrapText="1"/>
    </xf>
    <xf numFmtId="0" fontId="21" fillId="3" borderId="9" xfId="0" applyFont="1" applyFill="1" applyBorder="1" applyAlignment="1">
      <alignment vertical="center" wrapText="1"/>
    </xf>
    <xf numFmtId="0" fontId="21" fillId="3" borderId="15" xfId="0" applyFont="1" applyFill="1" applyBorder="1" applyAlignment="1">
      <alignment vertical="center" wrapText="1"/>
    </xf>
    <xf numFmtId="4" fontId="21" fillId="3" borderId="33" xfId="0" applyNumberFormat="1" applyFont="1" applyFill="1" applyBorder="1" applyAlignment="1">
      <alignment horizontal="center" vertical="center" wrapText="1"/>
    </xf>
    <xf numFmtId="0" fontId="21" fillId="3" borderId="1" xfId="0" applyFont="1" applyFill="1" applyBorder="1" applyAlignment="1">
      <alignment vertical="center" wrapText="1"/>
    </xf>
    <xf numFmtId="4" fontId="21" fillId="3" borderId="22" xfId="0" applyNumberFormat="1" applyFont="1" applyFill="1" applyBorder="1" applyAlignment="1">
      <alignment vertical="center" wrapText="1"/>
    </xf>
    <xf numFmtId="0" fontId="21" fillId="3" borderId="8" xfId="0" applyFont="1" applyFill="1" applyBorder="1" applyAlignment="1">
      <alignment vertical="center" wrapText="1"/>
    </xf>
    <xf numFmtId="4" fontId="21" fillId="3" borderId="20" xfId="0" applyNumberFormat="1" applyFont="1" applyFill="1" applyBorder="1" applyAlignment="1">
      <alignment vertical="center" wrapText="1"/>
    </xf>
    <xf numFmtId="4" fontId="21" fillId="3" borderId="0" xfId="0" applyNumberFormat="1" applyFont="1" applyFill="1" applyBorder="1" applyAlignment="1">
      <alignment horizontal="center" vertical="center" wrapText="1"/>
    </xf>
    <xf numFmtId="0" fontId="12" fillId="3" borderId="6" xfId="0" applyFont="1" applyFill="1" applyBorder="1" applyAlignment="1">
      <alignment horizontal="center" vertical="center" wrapText="1"/>
    </xf>
    <xf numFmtId="0" fontId="12" fillId="3" borderId="18" xfId="0" applyFont="1" applyFill="1" applyBorder="1" applyAlignment="1">
      <alignment vertical="center" wrapText="1"/>
    </xf>
    <xf numFmtId="4" fontId="12" fillId="3" borderId="35" xfId="0" applyNumberFormat="1" applyFont="1" applyFill="1" applyBorder="1" applyAlignment="1">
      <alignment vertical="center" wrapText="1"/>
    </xf>
    <xf numFmtId="4" fontId="10" fillId="3" borderId="29" xfId="0" applyNumberFormat="1" applyFont="1" applyFill="1" applyBorder="1" applyAlignment="1">
      <alignment vertical="center" wrapText="1"/>
    </xf>
    <xf numFmtId="4" fontId="10" fillId="3" borderId="0" xfId="0" applyNumberFormat="1" applyFont="1" applyFill="1" applyBorder="1" applyAlignment="1">
      <alignment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16" fillId="3" borderId="3" xfId="0" applyFont="1" applyFill="1" applyBorder="1" applyAlignment="1">
      <alignment vertical="center" wrapText="1"/>
    </xf>
    <xf numFmtId="4" fontId="18" fillId="3" borderId="35" xfId="0" applyNumberFormat="1" applyFont="1" applyFill="1" applyBorder="1" applyAlignment="1">
      <alignment vertical="center" wrapText="1"/>
    </xf>
    <xf numFmtId="49" fontId="24" fillId="3" borderId="18" xfId="0" applyNumberFormat="1" applyFont="1" applyFill="1" applyBorder="1" applyAlignment="1">
      <alignment horizontal="center" vertical="center"/>
    </xf>
    <xf numFmtId="49" fontId="12" fillId="3" borderId="17" xfId="0" applyNumberFormat="1" applyFont="1" applyFill="1" applyBorder="1" applyAlignment="1">
      <alignment horizontal="center" vertical="center"/>
    </xf>
    <xf numFmtId="0" fontId="12" fillId="3" borderId="7" xfId="0" applyFont="1" applyFill="1" applyBorder="1" applyAlignment="1">
      <alignment vertical="center" wrapText="1"/>
    </xf>
    <xf numFmtId="4" fontId="12" fillId="3" borderId="41" xfId="0" applyNumberFormat="1" applyFont="1" applyFill="1" applyBorder="1" applyAlignment="1">
      <alignment vertical="center" wrapText="1"/>
    </xf>
    <xf numFmtId="4" fontId="12" fillId="3" borderId="31" xfId="0" applyNumberFormat="1" applyFont="1" applyFill="1" applyBorder="1" applyAlignment="1">
      <alignment vertical="center" wrapText="1"/>
    </xf>
    <xf numFmtId="49" fontId="12" fillId="3" borderId="8" xfId="0" applyNumberFormat="1" applyFont="1" applyFill="1" applyBorder="1" applyAlignment="1">
      <alignment horizontal="center" vertical="center"/>
    </xf>
    <xf numFmtId="4" fontId="12" fillId="3" borderId="0" xfId="0" applyNumberFormat="1" applyFont="1" applyFill="1" applyBorder="1" applyAlignment="1">
      <alignment vertical="center" wrapText="1"/>
    </xf>
    <xf numFmtId="49" fontId="12" fillId="3" borderId="15" xfId="0" applyNumberFormat="1" applyFont="1" applyFill="1" applyBorder="1" applyAlignment="1">
      <alignment horizontal="center" vertical="center"/>
    </xf>
    <xf numFmtId="4" fontId="12" fillId="3" borderId="22" xfId="0" applyNumberFormat="1" applyFont="1" applyFill="1" applyBorder="1" applyAlignment="1">
      <alignment vertical="center" wrapText="1"/>
    </xf>
    <xf numFmtId="4" fontId="8" fillId="3" borderId="33" xfId="0" applyNumberFormat="1" applyFont="1" applyFill="1" applyBorder="1" applyAlignment="1">
      <alignment vertical="center" wrapText="1"/>
    </xf>
    <xf numFmtId="49" fontId="12" fillId="3" borderId="14" xfId="0" applyNumberFormat="1" applyFont="1" applyFill="1" applyBorder="1" applyAlignment="1">
      <alignment horizontal="center" vertical="center"/>
    </xf>
    <xf numFmtId="0" fontId="12" fillId="3" borderId="5" xfId="0" applyFont="1" applyFill="1" applyBorder="1" applyAlignment="1">
      <alignment vertical="center" wrapText="1"/>
    </xf>
    <xf numFmtId="4" fontId="12" fillId="3" borderId="40" xfId="0" applyNumberFormat="1" applyFont="1" applyFill="1" applyBorder="1" applyAlignment="1">
      <alignment vertical="center" wrapText="1"/>
    </xf>
    <xf numFmtId="4" fontId="8" fillId="3" borderId="32" xfId="0" applyNumberFormat="1" applyFont="1" applyFill="1" applyBorder="1" applyAlignment="1">
      <alignment vertical="center" wrapText="1"/>
    </xf>
    <xf numFmtId="49" fontId="12" fillId="3" borderId="9" xfId="0" applyNumberFormat="1" applyFont="1" applyFill="1" applyBorder="1" applyAlignment="1">
      <alignment horizontal="center" vertical="center"/>
    </xf>
    <xf numFmtId="4" fontId="21" fillId="3" borderId="33" xfId="0" applyNumberFormat="1" applyFont="1" applyFill="1" applyBorder="1" applyAlignment="1">
      <alignment vertical="center" wrapText="1"/>
    </xf>
    <xf numFmtId="0" fontId="21" fillId="3" borderId="1" xfId="0" applyFont="1" applyFill="1" applyBorder="1" applyAlignment="1">
      <alignment vertical="center"/>
    </xf>
    <xf numFmtId="49" fontId="18" fillId="3" borderId="18" xfId="0" applyNumberFormat="1" applyFont="1" applyFill="1" applyBorder="1" applyAlignment="1">
      <alignment horizontal="center" vertical="center"/>
    </xf>
    <xf numFmtId="4" fontId="9" fillId="3" borderId="29" xfId="0" applyNumberFormat="1" applyFont="1" applyFill="1" applyBorder="1" applyAlignment="1">
      <alignment vertical="center" wrapText="1"/>
    </xf>
    <xf numFmtId="4" fontId="8" fillId="3" borderId="31" xfId="0" applyNumberFormat="1" applyFont="1" applyFill="1" applyBorder="1" applyAlignment="1">
      <alignment vertical="center" wrapText="1"/>
    </xf>
    <xf numFmtId="49" fontId="19" fillId="3" borderId="18" xfId="0" applyNumberFormat="1" applyFont="1" applyFill="1" applyBorder="1" applyAlignment="1">
      <alignment horizontal="center" vertical="center"/>
    </xf>
    <xf numFmtId="0" fontId="19" fillId="3" borderId="3" xfId="0" applyFont="1" applyFill="1" applyBorder="1" applyAlignment="1">
      <alignment vertical="center" wrapText="1"/>
    </xf>
    <xf numFmtId="4" fontId="18" fillId="3" borderId="29" xfId="0" applyNumberFormat="1" applyFont="1" applyFill="1" applyBorder="1" applyAlignment="1">
      <alignment vertical="center" wrapText="1"/>
    </xf>
    <xf numFmtId="49" fontId="9" fillId="3" borderId="19" xfId="0" applyNumberFormat="1" applyFont="1" applyFill="1" applyBorder="1" applyAlignment="1">
      <alignment horizontal="center" vertical="center"/>
    </xf>
    <xf numFmtId="49" fontId="9" fillId="3" borderId="3" xfId="0" applyNumberFormat="1" applyFont="1" applyFill="1" applyBorder="1" applyAlignment="1">
      <alignment horizontal="center" vertical="center"/>
    </xf>
    <xf numFmtId="49" fontId="9" fillId="3" borderId="18" xfId="0" applyNumberFormat="1" applyFont="1" applyFill="1" applyBorder="1" applyAlignment="1">
      <alignment horizontal="center" vertical="center"/>
    </xf>
    <xf numFmtId="4" fontId="1" fillId="3" borderId="35" xfId="0" applyNumberFormat="1" applyFont="1" applyFill="1" applyBorder="1" applyAlignment="1">
      <alignment vertical="center" wrapText="1"/>
    </xf>
    <xf numFmtId="49" fontId="8" fillId="3" borderId="9" xfId="0" applyNumberFormat="1" applyFont="1" applyFill="1" applyBorder="1" applyAlignment="1">
      <alignment horizontal="center" vertical="center"/>
    </xf>
    <xf numFmtId="0" fontId="8" fillId="3" borderId="2" xfId="0" applyFont="1" applyFill="1" applyBorder="1" applyAlignment="1">
      <alignment vertical="center" wrapText="1"/>
    </xf>
    <xf numFmtId="4" fontId="8" fillId="3" borderId="21" xfId="0" applyNumberFormat="1" applyFont="1" applyFill="1" applyBorder="1" applyAlignment="1">
      <alignment vertical="center" wrapText="1"/>
    </xf>
    <xf numFmtId="49" fontId="8" fillId="3" borderId="15" xfId="0" applyNumberFormat="1" applyFont="1" applyFill="1" applyBorder="1" applyAlignment="1">
      <alignment horizontal="center" vertical="center"/>
    </xf>
    <xf numFmtId="0" fontId="8" fillId="3" borderId="1" xfId="0" applyFont="1" applyFill="1" applyBorder="1" applyAlignment="1">
      <alignment vertical="center" wrapText="1"/>
    </xf>
    <xf numFmtId="4" fontId="8" fillId="3" borderId="22" xfId="0" applyNumberFormat="1" applyFont="1" applyFill="1" applyBorder="1" applyAlignment="1">
      <alignment vertical="center" wrapText="1"/>
    </xf>
    <xf numFmtId="49" fontId="8" fillId="3" borderId="14" xfId="0" applyNumberFormat="1" applyFont="1" applyFill="1" applyBorder="1" applyAlignment="1">
      <alignment horizontal="center" vertical="center"/>
    </xf>
    <xf numFmtId="0" fontId="8" fillId="3" borderId="5" xfId="0" applyFont="1" applyFill="1" applyBorder="1" applyAlignment="1">
      <alignment vertical="center" wrapText="1"/>
    </xf>
    <xf numFmtId="4" fontId="8" fillId="3" borderId="40" xfId="0" applyNumberFormat="1" applyFont="1" applyFill="1" applyBorder="1" applyAlignment="1">
      <alignment vertical="center" wrapText="1"/>
    </xf>
    <xf numFmtId="4" fontId="9" fillId="3" borderId="26" xfId="0" applyNumberFormat="1" applyFont="1" applyFill="1" applyBorder="1" applyAlignment="1">
      <alignment vertical="center" wrapText="1"/>
    </xf>
    <xf numFmtId="0" fontId="8" fillId="3" borderId="2" xfId="0" applyFont="1" applyFill="1" applyBorder="1" applyAlignment="1">
      <alignment horizontal="center" vertical="center"/>
    </xf>
    <xf numFmtId="0" fontId="8" fillId="3" borderId="7" xfId="0" applyFont="1" applyFill="1" applyBorder="1" applyAlignment="1">
      <alignment vertical="center" wrapText="1"/>
    </xf>
    <xf numFmtId="49" fontId="21" fillId="3" borderId="29" xfId="0" applyNumberFormat="1" applyFont="1" applyFill="1" applyBorder="1" applyAlignment="1">
      <alignment horizontal="center" vertical="center"/>
    </xf>
    <xf numFmtId="0" fontId="24" fillId="3" borderId="36" xfId="0" applyFont="1" applyFill="1" applyBorder="1" applyAlignment="1">
      <alignment vertical="center" wrapText="1"/>
    </xf>
    <xf numFmtId="0" fontId="7" fillId="3" borderId="3" xfId="0" applyFont="1" applyFill="1" applyBorder="1" applyAlignment="1">
      <alignment vertical="center" wrapText="1"/>
    </xf>
    <xf numFmtId="49" fontId="24" fillId="3" borderId="16" xfId="0" applyNumberFormat="1" applyFont="1" applyFill="1" applyBorder="1" applyAlignment="1">
      <alignment horizontal="center" vertical="center"/>
    </xf>
    <xf numFmtId="0" fontId="24" fillId="3" borderId="6" xfId="0" applyFont="1" applyFill="1" applyBorder="1" applyAlignment="1">
      <alignment vertical="center" wrapText="1"/>
    </xf>
    <xf numFmtId="4" fontId="19" fillId="3" borderId="23" xfId="0" applyNumberFormat="1" applyFont="1" applyFill="1" applyBorder="1" applyAlignment="1">
      <alignment vertical="center" wrapText="1"/>
    </xf>
    <xf numFmtId="49" fontId="8" fillId="3" borderId="5" xfId="0" applyNumberFormat="1" applyFont="1" applyFill="1" applyBorder="1" applyAlignment="1">
      <alignment horizontal="center" vertical="center"/>
    </xf>
    <xf numFmtId="49" fontId="8" fillId="3" borderId="3" xfId="0" applyNumberFormat="1" applyFont="1" applyFill="1" applyBorder="1" applyAlignment="1">
      <alignment horizontal="center" vertical="center"/>
    </xf>
    <xf numFmtId="49" fontId="11" fillId="3" borderId="18" xfId="0" applyNumberFormat="1" applyFont="1" applyFill="1" applyBorder="1" applyAlignment="1">
      <alignment horizontal="center" vertical="center"/>
    </xf>
    <xf numFmtId="49" fontId="27" fillId="3" borderId="3" xfId="0" applyNumberFormat="1" applyFont="1" applyFill="1" applyBorder="1" applyAlignment="1">
      <alignment horizontal="center" vertical="center"/>
    </xf>
    <xf numFmtId="49" fontId="27" fillId="3" borderId="18" xfId="0" applyNumberFormat="1" applyFont="1" applyFill="1" applyBorder="1" applyAlignment="1">
      <alignment horizontal="center" vertical="center"/>
    </xf>
    <xf numFmtId="49" fontId="8" fillId="3" borderId="8" xfId="0" applyNumberFormat="1" applyFont="1" applyFill="1" applyBorder="1" applyAlignment="1">
      <alignment horizontal="center" vertical="center"/>
    </xf>
    <xf numFmtId="0" fontId="8" fillId="3" borderId="4" xfId="0" applyFont="1" applyFill="1" applyBorder="1" applyAlignment="1">
      <alignment vertical="center" wrapText="1"/>
    </xf>
    <xf numFmtId="4" fontId="8" fillId="3" borderId="20" xfId="0" applyNumberFormat="1" applyFont="1" applyFill="1" applyBorder="1" applyAlignment="1">
      <alignment vertical="center" wrapText="1"/>
    </xf>
    <xf numFmtId="49" fontId="12" fillId="3" borderId="1" xfId="0" applyNumberFormat="1" applyFont="1" applyFill="1" applyBorder="1" applyAlignment="1">
      <alignment horizontal="center" vertical="center"/>
    </xf>
    <xf numFmtId="0" fontId="21" fillId="3" borderId="5" xfId="0" applyFont="1" applyFill="1" applyBorder="1" applyAlignment="1">
      <alignment vertical="center" wrapText="1"/>
    </xf>
    <xf numFmtId="49" fontId="8" fillId="3" borderId="1" xfId="0" applyNumberFormat="1" applyFont="1" applyFill="1" applyBorder="1" applyAlignment="1">
      <alignment horizontal="center" vertical="center"/>
    </xf>
    <xf numFmtId="4" fontId="8" fillId="3" borderId="30" xfId="0" applyNumberFormat="1" applyFont="1" applyFill="1" applyBorder="1" applyAlignment="1">
      <alignment vertical="center"/>
    </xf>
    <xf numFmtId="0" fontId="8" fillId="3" borderId="0" xfId="0" applyFont="1" applyFill="1" applyBorder="1" applyAlignment="1">
      <alignment vertical="center"/>
    </xf>
    <xf numFmtId="4" fontId="8" fillId="3" borderId="31" xfId="0" applyNumberFormat="1" applyFont="1" applyFill="1" applyBorder="1" applyAlignment="1">
      <alignment vertical="center"/>
    </xf>
    <xf numFmtId="49" fontId="11" fillId="3" borderId="3" xfId="0" applyNumberFormat="1" applyFont="1" applyFill="1" applyBorder="1" applyAlignment="1">
      <alignment horizontal="center" vertical="center"/>
    </xf>
    <xf numFmtId="4" fontId="9" fillId="3" borderId="34" xfId="0" applyNumberFormat="1" applyFont="1" applyFill="1" applyBorder="1" applyAlignment="1">
      <alignment vertical="center" wrapText="1"/>
    </xf>
    <xf numFmtId="4" fontId="1" fillId="3" borderId="35" xfId="0" applyNumberFormat="1" applyFont="1" applyFill="1" applyBorder="1" applyAlignment="1">
      <alignment horizontal="right" vertical="center" wrapText="1"/>
    </xf>
    <xf numFmtId="4" fontId="9" fillId="3" borderId="37" xfId="0" applyNumberFormat="1" applyFont="1" applyFill="1" applyBorder="1" applyAlignment="1">
      <alignment horizontal="right" vertical="center" wrapText="1"/>
    </xf>
    <xf numFmtId="43" fontId="8" fillId="3" borderId="21" xfId="1" applyFont="1" applyFill="1" applyBorder="1" applyAlignment="1">
      <alignment horizontal="right" vertical="center" wrapText="1"/>
    </xf>
    <xf numFmtId="43" fontId="8" fillId="3" borderId="22" xfId="1" applyFont="1" applyFill="1" applyBorder="1" applyAlignment="1">
      <alignment horizontal="right" vertical="center" wrapText="1"/>
    </xf>
    <xf numFmtId="4" fontId="12" fillId="3" borderId="22" xfId="0" applyNumberFormat="1" applyFont="1" applyFill="1" applyBorder="1" applyAlignment="1">
      <alignment horizontal="right" vertical="center" wrapText="1"/>
    </xf>
    <xf numFmtId="4" fontId="21" fillId="3" borderId="22" xfId="0" applyNumberFormat="1" applyFont="1" applyFill="1" applyBorder="1" applyAlignment="1">
      <alignment horizontal="right" vertical="center" wrapText="1"/>
    </xf>
    <xf numFmtId="4" fontId="10" fillId="3" borderId="33" xfId="0" applyNumberFormat="1" applyFont="1" applyFill="1" applyBorder="1" applyAlignment="1">
      <alignment vertical="center" wrapText="1"/>
    </xf>
    <xf numFmtId="4" fontId="21" fillId="3" borderId="40" xfId="0" applyNumberFormat="1" applyFont="1" applyFill="1" applyBorder="1" applyAlignment="1">
      <alignment horizontal="right" vertical="center" wrapText="1"/>
    </xf>
    <xf numFmtId="4" fontId="10" fillId="3" borderId="32" xfId="0" applyNumberFormat="1" applyFont="1" applyFill="1" applyBorder="1" applyAlignment="1">
      <alignment vertical="center" wrapText="1"/>
    </xf>
    <xf numFmtId="0" fontId="21" fillId="3" borderId="0" xfId="0" applyFont="1" applyFill="1" applyBorder="1" applyAlignment="1">
      <alignment vertical="center"/>
    </xf>
    <xf numFmtId="49" fontId="12" fillId="3" borderId="1" xfId="0" applyNumberFormat="1" applyFont="1" applyFill="1" applyBorder="1" applyAlignment="1">
      <alignment vertical="center"/>
    </xf>
    <xf numFmtId="4" fontId="12" fillId="3" borderId="33" xfId="0" applyNumberFormat="1" applyFont="1" applyFill="1" applyBorder="1" applyAlignment="1">
      <alignment vertical="center" wrapText="1"/>
    </xf>
    <xf numFmtId="49" fontId="12" fillId="3" borderId="2" xfId="0" applyNumberFormat="1" applyFont="1" applyFill="1" applyBorder="1" applyAlignment="1">
      <alignment vertical="center"/>
    </xf>
    <xf numFmtId="4" fontId="8" fillId="3" borderId="40" xfId="0" applyNumberFormat="1" applyFont="1" applyFill="1" applyBorder="1" applyAlignment="1">
      <alignment horizontal="right" vertical="center" wrapText="1"/>
    </xf>
    <xf numFmtId="43" fontId="19" fillId="3" borderId="35" xfId="1" applyFont="1" applyFill="1" applyBorder="1" applyAlignment="1">
      <alignment horizontal="right" vertical="center" wrapText="1"/>
    </xf>
    <xf numFmtId="43" fontId="9" fillId="3" borderId="26" xfId="1" applyFont="1" applyFill="1" applyBorder="1" applyAlignment="1">
      <alignment vertical="center" wrapText="1"/>
    </xf>
    <xf numFmtId="164" fontId="19" fillId="3" borderId="35" xfId="1" applyNumberFormat="1" applyFont="1" applyFill="1" applyBorder="1" applyAlignment="1">
      <alignment horizontal="right" vertical="center" wrapText="1"/>
    </xf>
    <xf numFmtId="49" fontId="8" fillId="3" borderId="27" xfId="0" applyNumberFormat="1" applyFont="1" applyFill="1" applyBorder="1" applyAlignment="1">
      <alignment horizontal="center" vertical="center"/>
    </xf>
    <xf numFmtId="0" fontId="8" fillId="3" borderId="28" xfId="0" applyFont="1" applyFill="1" applyBorder="1" applyAlignment="1">
      <alignment vertical="center" wrapText="1"/>
    </xf>
    <xf numFmtId="43" fontId="8" fillId="3" borderId="42" xfId="1" applyFont="1" applyFill="1" applyBorder="1" applyAlignment="1">
      <alignment horizontal="right" vertical="center" wrapText="1"/>
    </xf>
    <xf numFmtId="49" fontId="8" fillId="3" borderId="7" xfId="0" applyNumberFormat="1" applyFont="1" applyFill="1" applyBorder="1" applyAlignment="1">
      <alignment horizontal="center" vertical="center"/>
    </xf>
    <xf numFmtId="4" fontId="9" fillId="3" borderId="0" xfId="0" applyNumberFormat="1" applyFont="1" applyFill="1" applyBorder="1" applyAlignment="1">
      <alignment vertical="center" wrapText="1"/>
    </xf>
    <xf numFmtId="49" fontId="8" fillId="3" borderId="2" xfId="0" applyNumberFormat="1" applyFont="1" applyFill="1" applyBorder="1" applyAlignment="1">
      <alignment horizontal="center" vertical="center"/>
    </xf>
    <xf numFmtId="49" fontId="7" fillId="3" borderId="0" xfId="0" applyNumberFormat="1" applyFont="1" applyFill="1" applyBorder="1" applyAlignment="1">
      <alignment horizontal="center" vertical="center"/>
    </xf>
    <xf numFmtId="4" fontId="19" fillId="3" borderId="35" xfId="0" applyNumberFormat="1" applyFont="1" applyFill="1" applyBorder="1" applyAlignment="1">
      <alignment horizontal="right" vertical="center" wrapText="1"/>
    </xf>
    <xf numFmtId="4" fontId="9" fillId="3" borderId="29" xfId="0" applyNumberFormat="1" applyFont="1" applyFill="1" applyBorder="1" applyAlignment="1">
      <alignment horizontal="right" vertical="center" wrapText="1"/>
    </xf>
    <xf numFmtId="4" fontId="8" fillId="3" borderId="21" xfId="0" applyNumberFormat="1" applyFont="1" applyFill="1" applyBorder="1" applyAlignment="1">
      <alignment horizontal="right" vertical="center" wrapText="1"/>
    </xf>
    <xf numFmtId="4" fontId="8" fillId="3" borderId="21" xfId="1" applyNumberFormat="1" applyFont="1" applyFill="1" applyBorder="1" applyAlignment="1">
      <alignment horizontal="right" vertical="center" wrapText="1"/>
    </xf>
    <xf numFmtId="4" fontId="8" fillId="3" borderId="22" xfId="1" applyNumberFormat="1" applyFont="1" applyFill="1" applyBorder="1" applyAlignment="1">
      <alignment horizontal="right" vertical="center" wrapText="1"/>
    </xf>
    <xf numFmtId="43" fontId="8" fillId="3" borderId="41" xfId="1" applyFont="1" applyFill="1" applyBorder="1" applyAlignment="1">
      <alignment horizontal="right" vertical="center" wrapText="1"/>
    </xf>
    <xf numFmtId="4" fontId="8" fillId="3" borderId="30" xfId="0" applyNumberFormat="1" applyFont="1" applyFill="1" applyBorder="1" applyAlignment="1">
      <alignment vertical="center" wrapText="1"/>
    </xf>
    <xf numFmtId="43" fontId="8" fillId="3" borderId="40" xfId="1" applyFont="1" applyFill="1" applyBorder="1" applyAlignment="1">
      <alignment horizontal="right" vertical="center" wrapText="1"/>
    </xf>
    <xf numFmtId="4" fontId="12" fillId="3" borderId="34" xfId="0" applyNumberFormat="1" applyFont="1" applyFill="1" applyBorder="1" applyAlignment="1">
      <alignment vertical="center" wrapText="1"/>
    </xf>
    <xf numFmtId="49" fontId="21" fillId="3" borderId="18" xfId="0" applyNumberFormat="1" applyFont="1" applyFill="1" applyBorder="1" applyAlignment="1">
      <alignment horizontal="center" vertical="center"/>
    </xf>
    <xf numFmtId="49" fontId="7" fillId="3" borderId="3" xfId="0" applyNumberFormat="1" applyFont="1" applyFill="1" applyBorder="1" applyAlignment="1">
      <alignment horizontal="center" vertical="center"/>
    </xf>
    <xf numFmtId="0" fontId="8" fillId="3" borderId="1" xfId="0" applyFont="1" applyFill="1" applyBorder="1" applyAlignment="1">
      <alignment vertical="center"/>
    </xf>
    <xf numFmtId="0" fontId="8" fillId="3" borderId="5" xfId="0" applyFont="1" applyFill="1" applyBorder="1" applyAlignment="1">
      <alignment vertical="center"/>
    </xf>
    <xf numFmtId="49" fontId="8" fillId="3" borderId="17" xfId="0" applyNumberFormat="1" applyFont="1" applyFill="1" applyBorder="1" applyAlignment="1">
      <alignment horizontal="center" vertical="center"/>
    </xf>
    <xf numFmtId="49" fontId="8" fillId="3" borderId="28" xfId="0" applyNumberFormat="1" applyFont="1" applyFill="1" applyBorder="1" applyAlignment="1">
      <alignment horizontal="center" vertical="center"/>
    </xf>
    <xf numFmtId="4" fontId="8" fillId="3" borderId="37" xfId="0" applyNumberFormat="1" applyFont="1" applyFill="1" applyBorder="1" applyAlignment="1">
      <alignment vertical="center" wrapText="1"/>
    </xf>
    <xf numFmtId="49" fontId="21" fillId="3" borderId="16" xfId="0" applyNumberFormat="1" applyFont="1" applyFill="1" applyBorder="1" applyAlignment="1">
      <alignment horizontal="center" vertical="center"/>
    </xf>
    <xf numFmtId="43" fontId="19" fillId="3" borderId="23" xfId="1" applyFont="1" applyFill="1" applyBorder="1" applyAlignment="1">
      <alignment horizontal="right" vertical="center" wrapText="1"/>
    </xf>
    <xf numFmtId="164" fontId="19" fillId="3" borderId="23" xfId="1" applyNumberFormat="1" applyFont="1" applyFill="1" applyBorder="1" applyAlignment="1">
      <alignment horizontal="right" vertical="center" wrapText="1"/>
    </xf>
    <xf numFmtId="43" fontId="9" fillId="3" borderId="29" xfId="1" applyFont="1" applyFill="1" applyBorder="1" applyAlignment="1">
      <alignment vertical="center" wrapText="1"/>
    </xf>
    <xf numFmtId="0" fontId="0" fillId="3" borderId="0" xfId="0" applyFill="1" applyAlignment="1">
      <alignment vertical="center"/>
    </xf>
    <xf numFmtId="49" fontId="27" fillId="3" borderId="19" xfId="0" applyNumberFormat="1" applyFont="1" applyFill="1" applyBorder="1" applyAlignment="1">
      <alignment horizontal="center" vertical="center"/>
    </xf>
    <xf numFmtId="49" fontId="26" fillId="3" borderId="18" xfId="0" applyNumberFormat="1" applyFont="1" applyFill="1" applyBorder="1" applyAlignment="1">
      <alignment horizontal="center" vertical="center"/>
    </xf>
    <xf numFmtId="0" fontId="27" fillId="3" borderId="3" xfId="0" applyFont="1" applyFill="1" applyBorder="1" applyAlignment="1">
      <alignment vertical="center" wrapText="1"/>
    </xf>
    <xf numFmtId="4" fontId="9" fillId="3" borderId="33" xfId="0" applyNumberFormat="1" applyFont="1" applyFill="1" applyBorder="1" applyAlignment="1">
      <alignment vertical="center" wrapText="1"/>
    </xf>
    <xf numFmtId="49" fontId="25" fillId="3" borderId="16" xfId="0" applyNumberFormat="1" applyFont="1" applyFill="1" applyBorder="1" applyAlignment="1">
      <alignment horizontal="center" vertical="center"/>
    </xf>
    <xf numFmtId="4" fontId="19" fillId="3" borderId="23" xfId="0" applyNumberFormat="1" applyFont="1" applyFill="1" applyBorder="1" applyAlignment="1">
      <alignment horizontal="right" vertical="center" wrapText="1"/>
    </xf>
    <xf numFmtId="49" fontId="8" fillId="3" borderId="38" xfId="0" applyNumberFormat="1" applyFont="1" applyFill="1" applyBorder="1" applyAlignment="1">
      <alignment horizontal="center" vertical="center"/>
    </xf>
    <xf numFmtId="4" fontId="8" fillId="3" borderId="12" xfId="0" applyNumberFormat="1" applyFont="1" applyFill="1" applyBorder="1" applyAlignment="1">
      <alignment horizontal="right" vertical="center" wrapText="1"/>
    </xf>
    <xf numFmtId="4" fontId="12" fillId="3" borderId="21" xfId="0" applyNumberFormat="1" applyFont="1" applyFill="1" applyBorder="1" applyAlignment="1">
      <alignment horizontal="right" vertical="center" wrapText="1"/>
    </xf>
    <xf numFmtId="0" fontId="21" fillId="3" borderId="2" xfId="0" applyFont="1" applyFill="1" applyBorder="1" applyAlignment="1">
      <alignment vertical="center" wrapText="1"/>
    </xf>
    <xf numFmtId="4" fontId="21" fillId="3" borderId="21" xfId="0" applyNumberFormat="1" applyFont="1" applyFill="1" applyBorder="1" applyAlignment="1">
      <alignment horizontal="right" vertical="center" wrapText="1"/>
    </xf>
    <xf numFmtId="0" fontId="24" fillId="3" borderId="18" xfId="0" applyFont="1" applyFill="1" applyBorder="1" applyAlignment="1">
      <alignment vertical="center" wrapText="1"/>
    </xf>
    <xf numFmtId="4" fontId="13" fillId="3" borderId="0" xfId="0" applyNumberFormat="1" applyFont="1" applyFill="1" applyBorder="1" applyAlignment="1">
      <alignment vertical="center" wrapText="1"/>
    </xf>
    <xf numFmtId="49" fontId="24" fillId="3" borderId="29" xfId="0" applyNumberFormat="1" applyFont="1" applyFill="1" applyBorder="1" applyAlignment="1">
      <alignment horizontal="center" vertical="center"/>
    </xf>
    <xf numFmtId="49" fontId="27" fillId="3" borderId="6" xfId="0" applyNumberFormat="1" applyFont="1" applyFill="1" applyBorder="1" applyAlignment="1">
      <alignment horizontal="center" vertical="center"/>
    </xf>
    <xf numFmtId="49" fontId="27" fillId="3" borderId="16" xfId="0" applyNumberFormat="1" applyFont="1" applyFill="1" applyBorder="1" applyAlignment="1">
      <alignment horizontal="center" vertical="center"/>
    </xf>
    <xf numFmtId="49" fontId="8" fillId="3" borderId="16" xfId="0" applyNumberFormat="1" applyFont="1" applyFill="1" applyBorder="1" applyAlignment="1">
      <alignment horizontal="center" vertical="center"/>
    </xf>
    <xf numFmtId="4" fontId="8" fillId="3" borderId="23" xfId="0" applyNumberFormat="1" applyFont="1" applyFill="1" applyBorder="1" applyAlignment="1">
      <alignment vertical="center" wrapText="1"/>
    </xf>
    <xf numFmtId="4" fontId="8" fillId="3" borderId="26" xfId="0" applyNumberFormat="1" applyFont="1" applyFill="1" applyBorder="1" applyAlignment="1">
      <alignment vertical="center" wrapText="1"/>
    </xf>
    <xf numFmtId="4" fontId="8" fillId="3" borderId="34" xfId="0" applyNumberFormat="1" applyFont="1" applyFill="1" applyBorder="1" applyAlignment="1">
      <alignment horizontal="right" vertical="center"/>
    </xf>
    <xf numFmtId="43" fontId="8" fillId="3" borderId="33" xfId="1" applyFont="1" applyFill="1" applyBorder="1" applyAlignment="1">
      <alignment horizontal="center" vertical="center"/>
    </xf>
    <xf numFmtId="43" fontId="8" fillId="3" borderId="51" xfId="1" applyFont="1" applyFill="1" applyBorder="1" applyAlignment="1">
      <alignment horizontal="right" vertical="center" wrapText="1"/>
    </xf>
    <xf numFmtId="4" fontId="8" fillId="3" borderId="33" xfId="0" applyNumberFormat="1" applyFont="1" applyFill="1" applyBorder="1" applyAlignment="1">
      <alignment horizontal="center" vertical="center"/>
    </xf>
    <xf numFmtId="4" fontId="1" fillId="3" borderId="39" xfId="0" applyNumberFormat="1" applyFont="1" applyFill="1" applyBorder="1" applyAlignment="1">
      <alignment vertical="center" wrapText="1"/>
    </xf>
    <xf numFmtId="4" fontId="19" fillId="3" borderId="39" xfId="0" applyNumberFormat="1" applyFont="1" applyFill="1" applyBorder="1" applyAlignment="1">
      <alignment vertical="center" wrapText="1"/>
    </xf>
    <xf numFmtId="4" fontId="30" fillId="3" borderId="21" xfId="0" applyNumberFormat="1" applyFont="1" applyFill="1" applyBorder="1" applyAlignment="1">
      <alignment vertical="center" wrapText="1"/>
    </xf>
    <xf numFmtId="4" fontId="30" fillId="3" borderId="52" xfId="0" applyNumberFormat="1" applyFont="1" applyFill="1" applyBorder="1" applyAlignment="1">
      <alignment vertical="center" wrapText="1"/>
    </xf>
    <xf numFmtId="4" fontId="30" fillId="3" borderId="22" xfId="0" applyNumberFormat="1" applyFont="1" applyFill="1" applyBorder="1" applyAlignment="1">
      <alignment vertical="center"/>
    </xf>
    <xf numFmtId="0" fontId="0" fillId="3" borderId="0" xfId="0" applyFill="1" applyBorder="1" applyAlignment="1">
      <alignment vertical="center"/>
    </xf>
    <xf numFmtId="4" fontId="30" fillId="3" borderId="51" xfId="0" applyNumberFormat="1" applyFont="1" applyFill="1" applyBorder="1" applyAlignment="1">
      <alignment vertical="center"/>
    </xf>
    <xf numFmtId="4" fontId="9" fillId="3" borderId="30" xfId="0" applyNumberFormat="1" applyFont="1" applyFill="1" applyBorder="1" applyAlignment="1">
      <alignment vertical="center" wrapText="1"/>
    </xf>
    <xf numFmtId="49" fontId="12" fillId="3" borderId="16" xfId="0" applyNumberFormat="1" applyFont="1" applyFill="1" applyBorder="1" applyAlignment="1">
      <alignment horizontal="center" vertical="center"/>
    </xf>
    <xf numFmtId="0" fontId="21" fillId="3" borderId="6" xfId="0" applyFont="1" applyFill="1" applyBorder="1" applyAlignment="1">
      <alignment vertical="center" wrapText="1"/>
    </xf>
    <xf numFmtId="4" fontId="21" fillId="3" borderId="23" xfId="0" applyNumberFormat="1" applyFont="1" applyFill="1" applyBorder="1" applyAlignment="1">
      <alignment vertical="center" wrapText="1"/>
    </xf>
    <xf numFmtId="0" fontId="0" fillId="3" borderId="4" xfId="0" applyFill="1" applyBorder="1" applyAlignment="1">
      <alignment vertical="center"/>
    </xf>
    <xf numFmtId="43" fontId="1" fillId="3" borderId="35" xfId="1" applyFont="1" applyFill="1" applyBorder="1" applyAlignment="1">
      <alignment horizontal="right" vertical="center" wrapText="1"/>
    </xf>
    <xf numFmtId="43" fontId="8" fillId="3" borderId="31" xfId="1" applyFont="1" applyFill="1" applyBorder="1" applyAlignment="1">
      <alignment vertical="center" wrapText="1"/>
    </xf>
    <xf numFmtId="43" fontId="9" fillId="3" borderId="29" xfId="1" applyFont="1" applyFill="1" applyBorder="1" applyAlignment="1">
      <alignment vertical="center"/>
    </xf>
    <xf numFmtId="43" fontId="8" fillId="3" borderId="34" xfId="1" applyFont="1" applyFill="1" applyBorder="1" applyAlignment="1">
      <alignment vertical="center" wrapText="1"/>
    </xf>
    <xf numFmtId="43" fontId="8" fillId="3" borderId="32" xfId="1" applyFont="1" applyFill="1" applyBorder="1" applyAlignment="1">
      <alignment vertical="center" wrapText="1"/>
    </xf>
    <xf numFmtId="43" fontId="9" fillId="3" borderId="31" xfId="1" applyFont="1" applyFill="1" applyBorder="1" applyAlignment="1">
      <alignment vertical="center"/>
    </xf>
    <xf numFmtId="49" fontId="8" fillId="3" borderId="11" xfId="0" applyNumberFormat="1" applyFont="1" applyFill="1" applyBorder="1" applyAlignment="1">
      <alignment vertical="center"/>
    </xf>
    <xf numFmtId="0" fontId="8" fillId="3" borderId="17" xfId="0" applyFont="1" applyFill="1" applyBorder="1" applyAlignment="1">
      <alignment vertical="center" wrapText="1"/>
    </xf>
    <xf numFmtId="164" fontId="8" fillId="3" borderId="41" xfId="1" applyNumberFormat="1" applyFont="1" applyFill="1" applyBorder="1" applyAlignment="1">
      <alignment horizontal="right" vertical="center"/>
    </xf>
    <xf numFmtId="4" fontId="19" fillId="3" borderId="35" xfId="1" applyNumberFormat="1" applyFont="1" applyFill="1" applyBorder="1" applyAlignment="1">
      <alignment horizontal="right" vertical="center"/>
    </xf>
    <xf numFmtId="4" fontId="8" fillId="3" borderId="34" xfId="0" applyNumberFormat="1" applyFont="1" applyFill="1" applyBorder="1" applyAlignment="1">
      <alignment horizontal="right" vertical="center" wrapText="1"/>
    </xf>
    <xf numFmtId="4" fontId="19" fillId="3" borderId="35" xfId="1" applyNumberFormat="1" applyFont="1" applyFill="1" applyBorder="1" applyAlignment="1">
      <alignment horizontal="right" vertical="center" readingOrder="1"/>
    </xf>
    <xf numFmtId="164" fontId="19" fillId="3" borderId="35" xfId="1" applyNumberFormat="1" applyFont="1" applyFill="1" applyBorder="1" applyAlignment="1">
      <alignment horizontal="right" vertical="center"/>
    </xf>
    <xf numFmtId="4" fontId="8" fillId="3" borderId="21" xfId="1" applyNumberFormat="1" applyFont="1" applyFill="1" applyBorder="1" applyAlignment="1">
      <alignment horizontal="right" vertical="center"/>
    </xf>
    <xf numFmtId="4" fontId="8" fillId="3" borderId="21" xfId="1" applyNumberFormat="1" applyFont="1" applyFill="1" applyBorder="1" applyAlignment="1">
      <alignment horizontal="right" vertical="center" readingOrder="1"/>
    </xf>
    <xf numFmtId="43" fontId="8" fillId="3" borderId="21" xfId="1" applyFont="1" applyFill="1" applyBorder="1" applyAlignment="1">
      <alignment horizontal="right" vertical="center"/>
    </xf>
    <xf numFmtId="4" fontId="8" fillId="3" borderId="40" xfId="1" applyNumberFormat="1" applyFont="1" applyFill="1" applyBorder="1" applyAlignment="1">
      <alignment horizontal="right" vertical="center"/>
    </xf>
    <xf numFmtId="4" fontId="8" fillId="3" borderId="40" xfId="1" applyNumberFormat="1" applyFont="1" applyFill="1" applyBorder="1" applyAlignment="1">
      <alignment horizontal="right" vertical="center" readingOrder="1"/>
    </xf>
    <xf numFmtId="43" fontId="8" fillId="3" borderId="40" xfId="1" applyFont="1" applyFill="1" applyBorder="1" applyAlignment="1">
      <alignment horizontal="right" vertical="center"/>
    </xf>
    <xf numFmtId="4" fontId="8" fillId="3" borderId="33" xfId="0" applyNumberFormat="1" applyFont="1" applyFill="1" applyBorder="1" applyAlignment="1">
      <alignment horizontal="right" vertical="center" wrapText="1"/>
    </xf>
    <xf numFmtId="164" fontId="19" fillId="3" borderId="35" xfId="1" applyNumberFormat="1" applyFont="1" applyFill="1" applyBorder="1" applyAlignment="1" applyProtection="1">
      <alignment horizontal="right" vertical="center"/>
      <protection locked="0"/>
    </xf>
    <xf numFmtId="4" fontId="8" fillId="3" borderId="20" xfId="1" applyNumberFormat="1" applyFont="1" applyFill="1" applyBorder="1" applyAlignment="1">
      <alignment horizontal="right" vertical="center"/>
    </xf>
    <xf numFmtId="4" fontId="8" fillId="3" borderId="20" xfId="1" applyNumberFormat="1" applyFont="1" applyFill="1" applyBorder="1" applyAlignment="1">
      <alignment horizontal="right" vertical="center" readingOrder="1"/>
    </xf>
    <xf numFmtId="43" fontId="8" fillId="3" borderId="20" xfId="1" applyFont="1" applyFill="1" applyBorder="1" applyAlignment="1">
      <alignment horizontal="right" vertical="center"/>
    </xf>
    <xf numFmtId="4" fontId="8" fillId="3" borderId="22" xfId="1" applyNumberFormat="1" applyFont="1" applyFill="1" applyBorder="1" applyAlignment="1">
      <alignment horizontal="right" vertical="center"/>
    </xf>
    <xf numFmtId="4" fontId="8" fillId="3" borderId="0" xfId="0" applyNumberFormat="1" applyFont="1" applyFill="1" applyBorder="1" applyAlignment="1">
      <alignment horizontal="right" vertical="center" wrapText="1"/>
    </xf>
    <xf numFmtId="4" fontId="8" fillId="3" borderId="22" xfId="1" applyNumberFormat="1" applyFont="1" applyFill="1" applyBorder="1" applyAlignment="1">
      <alignment horizontal="right" vertical="center" readingOrder="1"/>
    </xf>
    <xf numFmtId="43" fontId="8" fillId="3" borderId="22" xfId="1" applyFont="1" applyFill="1" applyBorder="1" applyAlignment="1">
      <alignment horizontal="right" vertical="center"/>
    </xf>
    <xf numFmtId="0" fontId="8" fillId="3" borderId="34" xfId="0" applyFont="1" applyFill="1" applyBorder="1" applyAlignment="1">
      <alignment vertical="center"/>
    </xf>
    <xf numFmtId="49" fontId="22" fillId="3" borderId="16" xfId="0" applyNumberFormat="1" applyFont="1" applyFill="1" applyBorder="1" applyAlignment="1">
      <alignment horizontal="center" vertical="center"/>
    </xf>
    <xf numFmtId="4" fontId="12" fillId="3" borderId="12" xfId="0" applyNumberFormat="1" applyFont="1" applyFill="1" applyBorder="1" applyAlignment="1">
      <alignment vertical="center" wrapText="1"/>
    </xf>
    <xf numFmtId="43" fontId="8" fillId="3" borderId="33" xfId="1" applyFont="1" applyFill="1" applyBorder="1" applyAlignment="1">
      <alignment horizontal="center" vertical="center" wrapText="1"/>
    </xf>
    <xf numFmtId="43" fontId="8" fillId="3" borderId="33" xfId="1" applyFont="1" applyFill="1" applyBorder="1" applyAlignment="1">
      <alignment horizontal="right" vertical="center"/>
    </xf>
    <xf numFmtId="43" fontId="8" fillId="3" borderId="32" xfId="1" applyFont="1" applyFill="1" applyBorder="1" applyAlignment="1">
      <alignment horizontal="right" vertical="center"/>
    </xf>
    <xf numFmtId="2" fontId="8" fillId="3" borderId="0" xfId="0" applyNumberFormat="1" applyFont="1" applyFill="1" applyBorder="1" applyAlignment="1">
      <alignment horizontal="right" vertical="center"/>
    </xf>
    <xf numFmtId="4" fontId="21" fillId="3" borderId="40" xfId="0" applyNumberFormat="1" applyFont="1" applyFill="1" applyBorder="1" applyAlignment="1">
      <alignment vertical="center" wrapText="1"/>
    </xf>
    <xf numFmtId="4" fontId="8" fillId="3" borderId="22" xfId="0" applyNumberFormat="1" applyFont="1" applyFill="1" applyBorder="1" applyAlignment="1">
      <alignment horizontal="right" vertical="center" wrapText="1"/>
    </xf>
    <xf numFmtId="49" fontId="21" fillId="3" borderId="3" xfId="0" applyNumberFormat="1" applyFont="1" applyFill="1" applyBorder="1" applyAlignment="1">
      <alignment horizontal="center" vertical="center"/>
    </xf>
    <xf numFmtId="4" fontId="8" fillId="3" borderId="20" xfId="0" applyNumberFormat="1" applyFont="1" applyFill="1" applyBorder="1" applyAlignment="1">
      <alignment horizontal="right" vertical="center" wrapText="1"/>
    </xf>
    <xf numFmtId="4" fontId="17" fillId="3" borderId="26" xfId="0" applyNumberFormat="1" applyFont="1" applyFill="1" applyBorder="1" applyAlignment="1">
      <alignment vertical="center" wrapText="1"/>
    </xf>
    <xf numFmtId="4" fontId="27" fillId="3" borderId="29" xfId="0" applyNumberFormat="1" applyFont="1" applyFill="1" applyBorder="1" applyAlignment="1">
      <alignment vertical="center" wrapText="1"/>
    </xf>
    <xf numFmtId="4" fontId="21" fillId="3" borderId="34" xfId="0" applyNumberFormat="1" applyFont="1" applyFill="1" applyBorder="1" applyAlignment="1">
      <alignment vertical="center" wrapText="1"/>
    </xf>
    <xf numFmtId="49" fontId="24" fillId="3" borderId="39" xfId="0" applyNumberFormat="1" applyFont="1" applyFill="1" applyBorder="1" applyAlignment="1">
      <alignment horizontal="center" vertical="center"/>
    </xf>
    <xf numFmtId="0" fontId="28" fillId="3" borderId="3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vertical="center" wrapText="1"/>
    </xf>
    <xf numFmtId="4" fontId="1" fillId="3" borderId="12" xfId="0" applyNumberFormat="1" applyFont="1" applyFill="1" applyBorder="1" applyAlignment="1">
      <alignment vertical="center" wrapText="1"/>
    </xf>
    <xf numFmtId="4" fontId="5" fillId="3" borderId="26" xfId="0" applyNumberFormat="1" applyFont="1" applyFill="1" applyBorder="1" applyAlignment="1">
      <alignment vertical="center" wrapText="1"/>
    </xf>
    <xf numFmtId="3" fontId="4" fillId="3" borderId="0" xfId="0" applyNumberFormat="1" applyFont="1" applyFill="1" applyBorder="1" applyAlignment="1">
      <alignment horizontal="center" vertical="center"/>
    </xf>
    <xf numFmtId="3" fontId="1" fillId="3" borderId="0" xfId="0" applyNumberFormat="1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3" fontId="0" fillId="3" borderId="0" xfId="0" applyNumberFormat="1" applyFont="1" applyFill="1" applyBorder="1" applyAlignment="1">
      <alignment vertical="center"/>
    </xf>
    <xf numFmtId="3" fontId="0" fillId="3" borderId="0" xfId="0" applyNumberFormat="1" applyFill="1" applyBorder="1" applyAlignment="1">
      <alignment vertical="center"/>
    </xf>
    <xf numFmtId="49" fontId="18" fillId="3" borderId="8" xfId="0" applyNumberFormat="1" applyFont="1" applyFill="1" applyBorder="1" applyAlignment="1">
      <alignment horizontal="center" vertical="center"/>
    </xf>
    <xf numFmtId="0" fontId="21" fillId="3" borderId="4" xfId="0" applyFont="1" applyFill="1" applyBorder="1" applyAlignment="1">
      <alignment vertical="center" wrapText="1"/>
    </xf>
    <xf numFmtId="49" fontId="21" fillId="3" borderId="8" xfId="0" applyNumberFormat="1" applyFont="1" applyFill="1" applyBorder="1" applyAlignment="1">
      <alignment horizontal="center" vertical="center"/>
    </xf>
    <xf numFmtId="3" fontId="0" fillId="3" borderId="8" xfId="0" applyNumberFormat="1" applyFill="1" applyBorder="1" applyAlignment="1">
      <alignment vertical="center"/>
    </xf>
    <xf numFmtId="0" fontId="7" fillId="3" borderId="2" xfId="0" applyFont="1" applyFill="1" applyBorder="1" applyAlignment="1">
      <alignment vertical="center"/>
    </xf>
    <xf numFmtId="0" fontId="7" fillId="3" borderId="11" xfId="0" applyFont="1" applyFill="1" applyBorder="1" applyAlignment="1">
      <alignment vertical="center" wrapText="1"/>
    </xf>
    <xf numFmtId="49" fontId="9" fillId="3" borderId="36" xfId="0" applyNumberFormat="1" applyFont="1" applyFill="1" applyBorder="1" applyAlignment="1">
      <alignment horizontal="center" vertical="center"/>
    </xf>
    <xf numFmtId="0" fontId="24" fillId="2" borderId="23" xfId="0" applyFont="1" applyFill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/>
    </xf>
    <xf numFmtId="49" fontId="24" fillId="0" borderId="4" xfId="0" applyNumberFormat="1" applyFont="1" applyBorder="1" applyAlignment="1">
      <alignment horizontal="center" vertical="center"/>
    </xf>
    <xf numFmtId="0" fontId="12" fillId="3" borderId="4" xfId="0" applyFont="1" applyFill="1" applyBorder="1" applyAlignment="1">
      <alignment horizontal="center" vertical="center" wrapText="1"/>
    </xf>
    <xf numFmtId="49" fontId="17" fillId="3" borderId="4" xfId="0" applyNumberFormat="1" applyFont="1" applyFill="1" applyBorder="1" applyAlignment="1">
      <alignment horizontal="center" vertical="center"/>
    </xf>
    <xf numFmtId="49" fontId="12" fillId="3" borderId="4" xfId="0" applyNumberFormat="1" applyFont="1" applyFill="1" applyBorder="1" applyAlignment="1">
      <alignment horizontal="center" vertical="center"/>
    </xf>
    <xf numFmtId="49" fontId="12" fillId="3" borderId="5" xfId="0" applyNumberFormat="1" applyFont="1" applyFill="1" applyBorder="1" applyAlignment="1">
      <alignment horizontal="center" vertical="center"/>
    </xf>
    <xf numFmtId="49" fontId="8" fillId="3" borderId="11" xfId="0" applyNumberFormat="1" applyFont="1" applyFill="1" applyBorder="1" applyAlignment="1">
      <alignment horizontal="center" vertical="center"/>
    </xf>
    <xf numFmtId="49" fontId="8" fillId="3" borderId="4" xfId="0" applyNumberFormat="1" applyFont="1" applyFill="1" applyBorder="1" applyAlignment="1">
      <alignment horizontal="center" vertical="center"/>
    </xf>
    <xf numFmtId="49" fontId="8" fillId="3" borderId="6" xfId="0" applyNumberFormat="1" applyFont="1" applyFill="1" applyBorder="1" applyAlignment="1">
      <alignment horizontal="center" vertical="center"/>
    </xf>
    <xf numFmtId="49" fontId="7" fillId="3" borderId="4" xfId="0" applyNumberFormat="1" applyFont="1" applyFill="1" applyBorder="1" applyAlignment="1">
      <alignment horizontal="center" vertical="center"/>
    </xf>
    <xf numFmtId="49" fontId="7" fillId="3" borderId="6" xfId="0" applyNumberFormat="1" applyFont="1" applyFill="1" applyBorder="1" applyAlignment="1">
      <alignment horizontal="center" vertical="center"/>
    </xf>
    <xf numFmtId="49" fontId="12" fillId="3" borderId="2" xfId="0" applyNumberFormat="1" applyFont="1" applyFill="1" applyBorder="1" applyAlignment="1">
      <alignment horizontal="center" vertical="center"/>
    </xf>
    <xf numFmtId="49" fontId="9" fillId="3" borderId="11" xfId="0" applyNumberFormat="1" applyFont="1" applyFill="1" applyBorder="1" applyAlignment="1">
      <alignment horizontal="center" vertical="center"/>
    </xf>
    <xf numFmtId="49" fontId="9" fillId="3" borderId="4" xfId="0" applyNumberFormat="1" applyFont="1" applyFill="1" applyBorder="1" applyAlignment="1">
      <alignment horizontal="center" vertical="center"/>
    </xf>
    <xf numFmtId="49" fontId="9" fillId="3" borderId="6" xfId="0" applyNumberFormat="1" applyFont="1" applyFill="1" applyBorder="1" applyAlignment="1">
      <alignment horizontal="center" vertical="center"/>
    </xf>
    <xf numFmtId="49" fontId="24" fillId="3" borderId="6" xfId="0" applyNumberFormat="1" applyFont="1" applyFill="1" applyBorder="1" applyAlignment="1">
      <alignment horizontal="center" vertical="center"/>
    </xf>
    <xf numFmtId="3" fontId="16" fillId="0" borderId="0" xfId="0" applyNumberFormat="1" applyFont="1" applyBorder="1" applyAlignment="1">
      <alignment vertical="center"/>
    </xf>
    <xf numFmtId="49" fontId="6" fillId="3" borderId="0" xfId="0" applyNumberFormat="1" applyFont="1" applyFill="1" applyBorder="1" applyAlignment="1">
      <alignment horizontal="center" vertical="center"/>
    </xf>
    <xf numFmtId="49" fontId="21" fillId="3" borderId="5" xfId="0" applyNumberFormat="1" applyFont="1" applyFill="1" applyBorder="1" applyAlignment="1">
      <alignment horizontal="center" vertical="center"/>
    </xf>
    <xf numFmtId="49" fontId="21" fillId="3" borderId="4" xfId="0" applyNumberFormat="1" applyFont="1" applyFill="1" applyBorder="1" applyAlignment="1">
      <alignment horizontal="center" vertical="center"/>
    </xf>
    <xf numFmtId="49" fontId="21" fillId="3" borderId="6" xfId="0" applyNumberFormat="1" applyFont="1" applyFill="1" applyBorder="1" applyAlignment="1">
      <alignment horizontal="center" vertical="center"/>
    </xf>
    <xf numFmtId="49" fontId="27" fillId="3" borderId="44" xfId="0" applyNumberFormat="1" applyFont="1" applyFill="1" applyBorder="1" applyAlignment="1">
      <alignment horizontal="center" vertical="center"/>
    </xf>
    <xf numFmtId="49" fontId="27" fillId="3" borderId="24" xfId="0" applyNumberFormat="1" applyFont="1" applyFill="1" applyBorder="1" applyAlignment="1">
      <alignment horizontal="center" vertical="center"/>
    </xf>
    <xf numFmtId="49" fontId="27" fillId="3" borderId="43" xfId="0" applyNumberFormat="1" applyFont="1" applyFill="1" applyBorder="1" applyAlignment="1">
      <alignment horizontal="center" vertical="center"/>
    </xf>
    <xf numFmtId="49" fontId="8" fillId="3" borderId="11" xfId="0" applyNumberFormat="1" applyFont="1" applyFill="1" applyBorder="1" applyAlignment="1">
      <alignment horizontal="center" vertical="center"/>
    </xf>
    <xf numFmtId="49" fontId="8" fillId="3" borderId="4" xfId="0" applyNumberFormat="1" applyFont="1" applyFill="1" applyBorder="1" applyAlignment="1">
      <alignment horizontal="center" vertical="center"/>
    </xf>
    <xf numFmtId="49" fontId="8" fillId="3" borderId="6" xfId="0" applyNumberFormat="1" applyFont="1" applyFill="1" applyBorder="1" applyAlignment="1">
      <alignment horizontal="center" vertical="center"/>
    </xf>
    <xf numFmtId="49" fontId="9" fillId="3" borderId="44" xfId="0" applyNumberFormat="1" applyFont="1" applyFill="1" applyBorder="1" applyAlignment="1">
      <alignment horizontal="center" vertical="center"/>
    </xf>
    <xf numFmtId="49" fontId="9" fillId="3" borderId="24" xfId="0" applyNumberFormat="1" applyFont="1" applyFill="1" applyBorder="1" applyAlignment="1">
      <alignment horizontal="center" vertical="center"/>
    </xf>
    <xf numFmtId="49" fontId="9" fillId="3" borderId="43" xfId="0" applyNumberFormat="1" applyFont="1" applyFill="1" applyBorder="1" applyAlignment="1">
      <alignment horizontal="center" vertical="center"/>
    </xf>
    <xf numFmtId="49" fontId="24" fillId="3" borderId="4" xfId="0" applyNumberFormat="1" applyFont="1" applyFill="1" applyBorder="1" applyAlignment="1">
      <alignment horizontal="center" vertical="center"/>
    </xf>
    <xf numFmtId="49" fontId="24" fillId="3" borderId="6" xfId="0" applyNumberFormat="1" applyFont="1" applyFill="1" applyBorder="1" applyAlignment="1">
      <alignment horizontal="center" vertical="center"/>
    </xf>
    <xf numFmtId="49" fontId="7" fillId="3" borderId="11" xfId="0" applyNumberFormat="1" applyFont="1" applyFill="1" applyBorder="1" applyAlignment="1">
      <alignment horizontal="center" vertical="center"/>
    </xf>
    <xf numFmtId="49" fontId="7" fillId="3" borderId="4" xfId="0" applyNumberFormat="1" applyFont="1" applyFill="1" applyBorder="1" applyAlignment="1">
      <alignment horizontal="center" vertical="center"/>
    </xf>
    <xf numFmtId="49" fontId="7" fillId="3" borderId="6" xfId="0" applyNumberFormat="1" applyFont="1" applyFill="1" applyBorder="1" applyAlignment="1">
      <alignment horizontal="center" vertical="center"/>
    </xf>
    <xf numFmtId="49" fontId="9" fillId="3" borderId="11" xfId="0" applyNumberFormat="1" applyFont="1" applyFill="1" applyBorder="1" applyAlignment="1">
      <alignment horizontal="center" vertical="center"/>
    </xf>
    <xf numFmtId="49" fontId="9" fillId="3" borderId="4" xfId="0" applyNumberFormat="1" applyFont="1" applyFill="1" applyBorder="1" applyAlignment="1">
      <alignment horizontal="center" vertical="center"/>
    </xf>
    <xf numFmtId="49" fontId="9" fillId="3" borderId="6" xfId="0" applyNumberFormat="1" applyFont="1" applyFill="1" applyBorder="1" applyAlignment="1">
      <alignment horizontal="center" vertical="center"/>
    </xf>
    <xf numFmtId="49" fontId="10" fillId="3" borderId="11" xfId="0" applyNumberFormat="1" applyFont="1" applyFill="1" applyBorder="1" applyAlignment="1">
      <alignment horizontal="center" vertical="center"/>
    </xf>
    <xf numFmtId="49" fontId="10" fillId="3" borderId="4" xfId="0" applyNumberFormat="1" applyFont="1" applyFill="1" applyBorder="1" applyAlignment="1">
      <alignment horizontal="center" vertical="center"/>
    </xf>
    <xf numFmtId="49" fontId="1" fillId="3" borderId="11" xfId="0" applyNumberFormat="1" applyFont="1" applyFill="1" applyBorder="1" applyAlignment="1">
      <alignment horizontal="center" vertical="center"/>
    </xf>
    <xf numFmtId="49" fontId="1" fillId="3" borderId="4" xfId="0" applyNumberFormat="1" applyFont="1" applyFill="1" applyBorder="1" applyAlignment="1">
      <alignment horizontal="center" vertical="center"/>
    </xf>
    <xf numFmtId="49" fontId="1" fillId="3" borderId="6" xfId="0" applyNumberFormat="1" applyFont="1" applyFill="1" applyBorder="1" applyAlignment="1">
      <alignment horizontal="center" vertical="center"/>
    </xf>
    <xf numFmtId="49" fontId="6" fillId="3" borderId="19" xfId="0" applyNumberFormat="1" applyFont="1" applyFill="1" applyBorder="1" applyAlignment="1">
      <alignment horizontal="center" vertical="center"/>
    </xf>
    <xf numFmtId="49" fontId="6" fillId="3" borderId="29" xfId="0" applyNumberFormat="1" applyFont="1" applyFill="1" applyBorder="1" applyAlignment="1">
      <alignment horizontal="center" vertical="center"/>
    </xf>
    <xf numFmtId="49" fontId="6" fillId="3" borderId="18" xfId="0" applyNumberFormat="1" applyFont="1" applyFill="1" applyBorder="1" applyAlignment="1">
      <alignment horizontal="center" vertical="center"/>
    </xf>
    <xf numFmtId="0" fontId="0" fillId="3" borderId="44" xfId="0" applyFill="1" applyBorder="1" applyAlignment="1">
      <alignment horizontal="center" vertical="center"/>
    </xf>
    <xf numFmtId="0" fontId="0" fillId="3" borderId="24" xfId="0" applyFill="1" applyBorder="1" applyAlignment="1">
      <alignment horizontal="center" vertical="center"/>
    </xf>
    <xf numFmtId="0" fontId="0" fillId="3" borderId="43" xfId="0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49" fontId="1" fillId="3" borderId="44" xfId="0" applyNumberFormat="1" applyFont="1" applyFill="1" applyBorder="1" applyAlignment="1">
      <alignment horizontal="center" vertical="center"/>
    </xf>
    <xf numFmtId="49" fontId="1" fillId="3" borderId="24" xfId="0" applyNumberFormat="1" applyFont="1" applyFill="1" applyBorder="1" applyAlignment="1">
      <alignment horizontal="center" vertical="center"/>
    </xf>
    <xf numFmtId="49" fontId="1" fillId="3" borderId="43" xfId="0" applyNumberFormat="1" applyFont="1" applyFill="1" applyBorder="1" applyAlignment="1">
      <alignment horizontal="center" vertical="center"/>
    </xf>
    <xf numFmtId="49" fontId="9" fillId="3" borderId="10" xfId="0" applyNumberFormat="1" applyFont="1" applyFill="1" applyBorder="1" applyAlignment="1">
      <alignment horizontal="center" vertical="center"/>
    </xf>
    <xf numFmtId="49" fontId="9" fillId="3" borderId="46" xfId="0" applyNumberFormat="1" applyFont="1" applyFill="1" applyBorder="1" applyAlignment="1">
      <alignment horizontal="center" vertical="center"/>
    </xf>
    <xf numFmtId="49" fontId="9" fillId="3" borderId="45" xfId="0" applyNumberFormat="1" applyFont="1" applyFill="1" applyBorder="1" applyAlignment="1">
      <alignment horizontal="center" vertical="center"/>
    </xf>
    <xf numFmtId="49" fontId="12" fillId="3" borderId="5" xfId="0" applyNumberFormat="1" applyFont="1" applyFill="1" applyBorder="1" applyAlignment="1">
      <alignment horizontal="center" vertical="center"/>
    </xf>
    <xf numFmtId="49" fontId="12" fillId="3" borderId="4" xfId="0" applyNumberFormat="1" applyFont="1" applyFill="1" applyBorder="1" applyAlignment="1">
      <alignment horizontal="center" vertical="center"/>
    </xf>
    <xf numFmtId="49" fontId="12" fillId="3" borderId="2" xfId="0" applyNumberFormat="1" applyFont="1" applyFill="1" applyBorder="1" applyAlignment="1">
      <alignment horizontal="center" vertical="center"/>
    </xf>
    <xf numFmtId="49" fontId="7" fillId="3" borderId="44" xfId="0" applyNumberFormat="1" applyFont="1" applyFill="1" applyBorder="1" applyAlignment="1">
      <alignment horizontal="center" vertical="center"/>
    </xf>
    <xf numFmtId="49" fontId="7" fillId="3" borderId="24" xfId="0" applyNumberFormat="1" applyFont="1" applyFill="1" applyBorder="1" applyAlignment="1">
      <alignment horizontal="center" vertical="center"/>
    </xf>
    <xf numFmtId="49" fontId="7" fillId="3" borderId="43" xfId="0" applyNumberFormat="1" applyFont="1" applyFill="1" applyBorder="1" applyAlignment="1">
      <alignment horizontal="center" vertical="center"/>
    </xf>
    <xf numFmtId="49" fontId="7" fillId="3" borderId="10" xfId="0" applyNumberFormat="1" applyFont="1" applyFill="1" applyBorder="1" applyAlignment="1">
      <alignment horizontal="center" vertical="center"/>
    </xf>
    <xf numFmtId="49" fontId="7" fillId="3" borderId="46" xfId="0" applyNumberFormat="1" applyFont="1" applyFill="1" applyBorder="1" applyAlignment="1">
      <alignment horizontal="center" vertical="center"/>
    </xf>
    <xf numFmtId="49" fontId="7" fillId="3" borderId="45" xfId="0" applyNumberFormat="1" applyFont="1" applyFill="1" applyBorder="1" applyAlignment="1">
      <alignment horizontal="center" vertical="center"/>
    </xf>
    <xf numFmtId="49" fontId="7" fillId="3" borderId="2" xfId="0" applyNumberFormat="1" applyFont="1" applyFill="1" applyBorder="1" applyAlignment="1">
      <alignment horizontal="center" vertical="center"/>
    </xf>
    <xf numFmtId="49" fontId="13" fillId="3" borderId="10" xfId="0" applyNumberFormat="1" applyFont="1" applyFill="1" applyBorder="1" applyAlignment="1">
      <alignment horizontal="center" vertical="center"/>
    </xf>
    <xf numFmtId="49" fontId="13" fillId="3" borderId="46" xfId="0" applyNumberFormat="1" applyFont="1" applyFill="1" applyBorder="1" applyAlignment="1">
      <alignment horizontal="center" vertical="center"/>
    </xf>
    <xf numFmtId="49" fontId="13" fillId="3" borderId="45" xfId="0" applyNumberFormat="1" applyFont="1" applyFill="1" applyBorder="1" applyAlignment="1">
      <alignment horizontal="center" vertical="center"/>
    </xf>
    <xf numFmtId="49" fontId="17" fillId="3" borderId="10" xfId="0" applyNumberFormat="1" applyFont="1" applyFill="1" applyBorder="1" applyAlignment="1">
      <alignment horizontal="center" vertical="center"/>
    </xf>
    <xf numFmtId="49" fontId="17" fillId="3" borderId="46" xfId="0" applyNumberFormat="1" applyFont="1" applyFill="1" applyBorder="1" applyAlignment="1">
      <alignment horizontal="center" vertical="center"/>
    </xf>
    <xf numFmtId="49" fontId="17" fillId="3" borderId="45" xfId="0" applyNumberFormat="1" applyFont="1" applyFill="1" applyBorder="1" applyAlignment="1">
      <alignment horizontal="center" vertical="center"/>
    </xf>
    <xf numFmtId="49" fontId="17" fillId="3" borderId="11" xfId="0" applyNumberFormat="1" applyFont="1" applyFill="1" applyBorder="1" applyAlignment="1">
      <alignment horizontal="center" vertical="center"/>
    </xf>
    <xf numFmtId="49" fontId="17" fillId="3" borderId="4" xfId="0" applyNumberFormat="1" applyFont="1" applyFill="1" applyBorder="1" applyAlignment="1">
      <alignment horizontal="center" vertical="center"/>
    </xf>
    <xf numFmtId="49" fontId="17" fillId="3" borderId="6" xfId="0" applyNumberFormat="1" applyFont="1" applyFill="1" applyBorder="1" applyAlignment="1">
      <alignment horizontal="center" vertical="center"/>
    </xf>
    <xf numFmtId="49" fontId="12" fillId="3" borderId="6" xfId="0" applyNumberFormat="1" applyFont="1" applyFill="1" applyBorder="1" applyAlignment="1">
      <alignment horizontal="center" vertical="center"/>
    </xf>
    <xf numFmtId="49" fontId="17" fillId="3" borderId="44" xfId="0" applyNumberFormat="1" applyFont="1" applyFill="1" applyBorder="1" applyAlignment="1">
      <alignment horizontal="center" vertical="center"/>
    </xf>
    <xf numFmtId="49" fontId="17" fillId="3" borderId="24" xfId="0" applyNumberFormat="1" applyFont="1" applyFill="1" applyBorder="1" applyAlignment="1">
      <alignment horizontal="center" vertical="center"/>
    </xf>
    <xf numFmtId="49" fontId="17" fillId="3" borderId="43" xfId="0" applyNumberFormat="1" applyFont="1" applyFill="1" applyBorder="1" applyAlignment="1">
      <alignment horizontal="center" vertical="center"/>
    </xf>
    <xf numFmtId="0" fontId="12" fillId="3" borderId="5" xfId="0" applyFont="1" applyFill="1" applyBorder="1" applyAlignment="1">
      <alignment horizontal="center" vertical="center" wrapText="1"/>
    </xf>
    <xf numFmtId="0" fontId="12" fillId="3" borderId="4" xfId="0" applyFont="1" applyFill="1" applyBorder="1" applyAlignment="1">
      <alignment horizontal="center" vertical="center" wrapText="1"/>
    </xf>
    <xf numFmtId="0" fontId="14" fillId="2" borderId="24" xfId="0" applyFont="1" applyFill="1" applyBorder="1" applyAlignment="1">
      <alignment horizontal="center" vertical="center" wrapText="1"/>
    </xf>
    <xf numFmtId="0" fontId="14" fillId="2" borderId="0" xfId="0" applyFont="1" applyFill="1" applyBorder="1" applyAlignment="1">
      <alignment horizontal="center" vertical="center" wrapText="1"/>
    </xf>
    <xf numFmtId="0" fontId="29" fillId="2" borderId="47" xfId="0" applyFont="1" applyFill="1" applyBorder="1" applyAlignment="1">
      <alignment horizontal="center" vertical="center"/>
    </xf>
    <xf numFmtId="0" fontId="29" fillId="2" borderId="48" xfId="0" applyFont="1" applyFill="1" applyBorder="1" applyAlignment="1">
      <alignment horizontal="center" vertical="center"/>
    </xf>
    <xf numFmtId="0" fontId="29" fillId="2" borderId="7" xfId="0" applyFont="1" applyFill="1" applyBorder="1" applyAlignment="1">
      <alignment horizontal="center" vertical="center"/>
    </xf>
    <xf numFmtId="0" fontId="29" fillId="2" borderId="28" xfId="0" applyFont="1" applyFill="1" applyBorder="1" applyAlignment="1">
      <alignment horizontal="center" vertical="center"/>
    </xf>
    <xf numFmtId="0" fontId="31" fillId="2" borderId="7" xfId="0" applyFont="1" applyFill="1" applyBorder="1" applyAlignment="1">
      <alignment horizontal="center" vertical="center" textRotation="90"/>
    </xf>
    <xf numFmtId="0" fontId="31" fillId="2" borderId="28" xfId="0" applyFont="1" applyFill="1" applyBorder="1" applyAlignment="1">
      <alignment horizontal="center" vertical="center" textRotation="90"/>
    </xf>
    <xf numFmtId="0" fontId="24" fillId="2" borderId="7" xfId="0" applyFont="1" applyFill="1" applyBorder="1" applyAlignment="1">
      <alignment horizontal="center" vertical="center"/>
    </xf>
    <xf numFmtId="0" fontId="24" fillId="2" borderId="28" xfId="0" applyFont="1" applyFill="1" applyBorder="1" applyAlignment="1">
      <alignment horizontal="center" vertical="center"/>
    </xf>
    <xf numFmtId="0" fontId="24" fillId="2" borderId="12" xfId="0" applyFont="1" applyFill="1" applyBorder="1" applyAlignment="1">
      <alignment horizontal="center" vertical="center" wrapText="1"/>
    </xf>
    <xf numFmtId="0" fontId="24" fillId="2" borderId="23" xfId="0" applyFont="1" applyFill="1" applyBorder="1" applyAlignment="1">
      <alignment horizontal="center" vertical="center" wrapText="1"/>
    </xf>
    <xf numFmtId="0" fontId="24" fillId="2" borderId="10" xfId="0" applyFont="1" applyFill="1" applyBorder="1" applyAlignment="1">
      <alignment horizontal="center" vertical="center"/>
    </xf>
    <xf numFmtId="0" fontId="24" fillId="2" borderId="45" xfId="0" applyFont="1" applyFill="1" applyBorder="1" applyAlignment="1">
      <alignment horizontal="center" vertical="center"/>
    </xf>
    <xf numFmtId="0" fontId="29" fillId="2" borderId="49" xfId="0" applyFont="1" applyFill="1" applyBorder="1" applyAlignment="1">
      <alignment horizontal="center" vertical="center" wrapText="1"/>
    </xf>
    <xf numFmtId="0" fontId="29" fillId="2" borderId="50" xfId="0" applyFont="1" applyFill="1" applyBorder="1" applyAlignment="1">
      <alignment horizontal="center" vertical="center" wrapText="1"/>
    </xf>
    <xf numFmtId="49" fontId="12" fillId="3" borderId="11" xfId="0" applyNumberFormat="1" applyFont="1" applyFill="1" applyBorder="1" applyAlignment="1">
      <alignment horizontal="center" vertical="center"/>
    </xf>
  </cellXfs>
  <cellStyles count="3">
    <cellStyle name="Dziesiętny" xfId="1" builtinId="3"/>
    <cellStyle name="Normalny" xfId="0" builtinId="0"/>
    <cellStyle name="Procentowy" xfId="2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barbara_gali&#324;ska\Moje%20dokumenty\Plany%20finansowe%202009\Plan%20wydatk&#243;w%202009%20-Urz&#261;d%20Miejski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Arkusz1"/>
      <sheetName val="Wykonanie"/>
      <sheetName val="Wykonanie (3)"/>
      <sheetName val="Wykonanie marzec 1a (2)"/>
      <sheetName val="Wykonanie marzec 1a"/>
      <sheetName val="Wykonanie  S.20.03.08"/>
      <sheetName val="Zarz. 14.03.08"/>
      <sheetName val="Zarz.23.04.08r"/>
      <sheetName val="S.24.04.08"/>
      <sheetName val="Zarz.21.05.08"/>
      <sheetName val="S.29.05.08 "/>
      <sheetName val="Z.26.06.08"/>
      <sheetName val="S.30.06.08"/>
      <sheetName val="Z.30.06.08r."/>
      <sheetName val="Z.11.07.08r."/>
      <sheetName val="Z.06.08.08"/>
      <sheetName val="S.03.09.08"/>
      <sheetName val="Z.04.09.08."/>
      <sheetName val="Z.15.09.08. "/>
      <sheetName val="Z.17.09.08."/>
      <sheetName val="Z.23.09.08."/>
      <sheetName val="Z.30.09.08.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L3144"/>
  <sheetViews>
    <sheetView tabSelected="1" view="pageBreakPreview" zoomScaleNormal="100" zoomScaleSheetLayoutView="100" workbookViewId="0">
      <selection activeCell="E645" sqref="E645:H645"/>
    </sheetView>
  </sheetViews>
  <sheetFormatPr defaultRowHeight="12.75"/>
  <cols>
    <col min="1" max="1" width="5.85546875" style="1" customWidth="1"/>
    <col min="2" max="2" width="9.140625" style="1" customWidth="1"/>
    <col min="3" max="3" width="6" style="2" customWidth="1"/>
    <col min="4" max="4" width="67.7109375" style="1" customWidth="1"/>
    <col min="5" max="5" width="16.7109375" style="1" customWidth="1"/>
    <col min="6" max="6" width="8.140625" style="8" hidden="1" customWidth="1"/>
    <col min="7" max="7" width="16.7109375" style="1" customWidth="1"/>
    <col min="8" max="8" width="15.7109375" style="1" customWidth="1"/>
    <col min="9" max="9" width="16" style="1" customWidth="1"/>
    <col min="10" max="16384" width="9.140625" style="1"/>
  </cols>
  <sheetData>
    <row r="1" spans="1:11" ht="12.75" customHeight="1">
      <c r="A1" s="393" t="s">
        <v>327</v>
      </c>
      <c r="B1" s="394"/>
      <c r="C1" s="394"/>
      <c r="D1" s="394"/>
      <c r="E1" s="394"/>
      <c r="F1" s="394"/>
      <c r="G1" s="394"/>
      <c r="H1" s="394"/>
    </row>
    <row r="2" spans="1:11" ht="51.75" customHeight="1" thickBot="1">
      <c r="A2" s="393"/>
      <c r="B2" s="394"/>
      <c r="C2" s="394"/>
      <c r="D2" s="394"/>
      <c r="E2" s="394"/>
      <c r="F2" s="394"/>
      <c r="G2" s="394"/>
      <c r="H2" s="394"/>
    </row>
    <row r="3" spans="1:11" ht="16.5" customHeight="1">
      <c r="A3" s="395" t="s">
        <v>222</v>
      </c>
      <c r="B3" s="397" t="s">
        <v>221</v>
      </c>
      <c r="C3" s="399" t="s">
        <v>220</v>
      </c>
      <c r="D3" s="401" t="s">
        <v>219</v>
      </c>
      <c r="E3" s="403" t="s">
        <v>326</v>
      </c>
      <c r="F3" s="405" t="s">
        <v>325</v>
      </c>
      <c r="G3" s="407" t="s">
        <v>364</v>
      </c>
      <c r="H3" s="408"/>
      <c r="I3" s="5"/>
      <c r="J3" s="5"/>
      <c r="K3" s="5"/>
    </row>
    <row r="4" spans="1:11" ht="26.25" customHeight="1" thickBot="1">
      <c r="A4" s="396"/>
      <c r="B4" s="398"/>
      <c r="C4" s="400"/>
      <c r="D4" s="402"/>
      <c r="E4" s="404"/>
      <c r="F4" s="406"/>
      <c r="G4" s="309" t="s">
        <v>365</v>
      </c>
      <c r="H4" s="309" t="s">
        <v>366</v>
      </c>
      <c r="I4" s="5"/>
      <c r="J4" s="5"/>
      <c r="K4" s="5"/>
    </row>
    <row r="5" spans="1:11" ht="10.5" customHeight="1" thickBot="1">
      <c r="A5" s="29">
        <v>1</v>
      </c>
      <c r="B5" s="30">
        <v>2</v>
      </c>
      <c r="C5" s="31">
        <v>3</v>
      </c>
      <c r="D5" s="30">
        <v>4</v>
      </c>
      <c r="E5" s="32">
        <v>5</v>
      </c>
      <c r="F5" s="33">
        <v>6</v>
      </c>
      <c r="G5" s="32">
        <v>6</v>
      </c>
      <c r="H5" s="36">
        <v>7</v>
      </c>
      <c r="I5" s="5"/>
      <c r="J5" s="5"/>
      <c r="K5" s="5"/>
    </row>
    <row r="6" spans="1:11" ht="15" customHeight="1" thickBot="1">
      <c r="A6" s="308" t="s">
        <v>218</v>
      </c>
      <c r="B6" s="45"/>
      <c r="C6" s="46"/>
      <c r="D6" s="306" t="s">
        <v>217</v>
      </c>
      <c r="E6" s="47">
        <f>E7+E9</f>
        <v>50589</v>
      </c>
      <c r="F6" s="48" t="e">
        <f>SUM(#REF!+F7+F9)</f>
        <v>#REF!</v>
      </c>
      <c r="G6" s="47">
        <f>G7+G9</f>
        <v>50589</v>
      </c>
      <c r="H6" s="47">
        <f>H7+H9</f>
        <v>0</v>
      </c>
      <c r="I6" s="34"/>
      <c r="J6" s="5"/>
      <c r="K6" s="5"/>
    </row>
    <row r="7" spans="1:11" ht="15" customHeight="1" thickBot="1">
      <c r="A7" s="372"/>
      <c r="B7" s="49" t="s">
        <v>216</v>
      </c>
      <c r="C7" s="50"/>
      <c r="D7" s="51" t="s">
        <v>215</v>
      </c>
      <c r="E7" s="52">
        <f>SUM(E8)</f>
        <v>9400</v>
      </c>
      <c r="F7" s="53">
        <f>SUM(F8)</f>
        <v>6682.37</v>
      </c>
      <c r="G7" s="52">
        <f>SUM(G8)</f>
        <v>9400</v>
      </c>
      <c r="H7" s="52">
        <f>SUM(H8)</f>
        <v>0</v>
      </c>
      <c r="I7" s="34"/>
      <c r="J7" s="5"/>
      <c r="K7" s="5"/>
    </row>
    <row r="8" spans="1:11" ht="30" customHeight="1" thickBot="1">
      <c r="A8" s="372"/>
      <c r="B8" s="314"/>
      <c r="C8" s="54">
        <v>2850</v>
      </c>
      <c r="D8" s="55" t="s">
        <v>265</v>
      </c>
      <c r="E8" s="56">
        <f>0.02*470000</f>
        <v>9400</v>
      </c>
      <c r="F8" s="57">
        <v>6682.37</v>
      </c>
      <c r="G8" s="56">
        <f>0.02*470000</f>
        <v>9400</v>
      </c>
      <c r="H8" s="56"/>
      <c r="I8" s="34"/>
      <c r="J8" s="5"/>
      <c r="K8" s="5"/>
    </row>
    <row r="9" spans="1:11" ht="15" customHeight="1" thickBot="1">
      <c r="A9" s="372"/>
      <c r="B9" s="49" t="s">
        <v>214</v>
      </c>
      <c r="C9" s="50"/>
      <c r="D9" s="58" t="s">
        <v>11</v>
      </c>
      <c r="E9" s="59">
        <f>SUM(E10:E15)</f>
        <v>41189</v>
      </c>
      <c r="F9" s="60">
        <f>SUM(F10:F15)</f>
        <v>145569.16999999998</v>
      </c>
      <c r="G9" s="59">
        <f>SUM(G10:G15)</f>
        <v>41189</v>
      </c>
      <c r="H9" s="59">
        <f>SUM(H10:H15)</f>
        <v>0</v>
      </c>
      <c r="I9" s="34"/>
      <c r="J9" s="5"/>
      <c r="K9" s="5"/>
    </row>
    <row r="10" spans="1:11" ht="15" customHeight="1">
      <c r="A10" s="372"/>
      <c r="B10" s="385"/>
      <c r="C10" s="61">
        <v>4110</v>
      </c>
      <c r="D10" s="62" t="s">
        <v>135</v>
      </c>
      <c r="E10" s="63">
        <v>309</v>
      </c>
      <c r="F10" s="64">
        <v>308.36</v>
      </c>
      <c r="G10" s="63">
        <v>309</v>
      </c>
      <c r="H10" s="63"/>
      <c r="I10" s="34">
        <f>G10</f>
        <v>309</v>
      </c>
      <c r="J10" s="5"/>
      <c r="K10" s="5"/>
    </row>
    <row r="11" spans="1:11" ht="15" customHeight="1">
      <c r="A11" s="372"/>
      <c r="B11" s="385"/>
      <c r="C11" s="61">
        <v>4120</v>
      </c>
      <c r="D11" s="65" t="s">
        <v>84</v>
      </c>
      <c r="E11" s="63">
        <v>50</v>
      </c>
      <c r="F11" s="66">
        <v>49.74</v>
      </c>
      <c r="G11" s="63">
        <v>50</v>
      </c>
      <c r="H11" s="63"/>
      <c r="I11" s="34">
        <f>G11</f>
        <v>50</v>
      </c>
      <c r="J11" s="5"/>
      <c r="K11" s="5"/>
    </row>
    <row r="12" spans="1:11" ht="15" customHeight="1">
      <c r="A12" s="372"/>
      <c r="B12" s="385"/>
      <c r="C12" s="61">
        <v>4170</v>
      </c>
      <c r="D12" s="67" t="s">
        <v>82</v>
      </c>
      <c r="E12" s="63">
        <v>4830</v>
      </c>
      <c r="F12" s="66">
        <v>2830</v>
      </c>
      <c r="G12" s="63">
        <v>4830</v>
      </c>
      <c r="H12" s="63"/>
      <c r="I12" s="34">
        <f>G12</f>
        <v>4830</v>
      </c>
      <c r="J12" s="5"/>
      <c r="K12" s="5"/>
    </row>
    <row r="13" spans="1:11" ht="15" customHeight="1">
      <c r="A13" s="372"/>
      <c r="B13" s="385"/>
      <c r="C13" s="61">
        <v>4210</v>
      </c>
      <c r="D13" s="67" t="s">
        <v>29</v>
      </c>
      <c r="E13" s="68">
        <v>6000</v>
      </c>
      <c r="F13" s="66">
        <v>4538.6499999999996</v>
      </c>
      <c r="G13" s="68">
        <v>6000</v>
      </c>
      <c r="H13" s="68"/>
      <c r="I13" s="34"/>
      <c r="J13" s="5"/>
      <c r="K13" s="5"/>
    </row>
    <row r="14" spans="1:11" ht="15" customHeight="1">
      <c r="A14" s="372"/>
      <c r="B14" s="385"/>
      <c r="C14" s="61">
        <v>4300</v>
      </c>
      <c r="D14" s="67" t="s">
        <v>213</v>
      </c>
      <c r="E14" s="68">
        <v>30000</v>
      </c>
      <c r="F14" s="66">
        <v>18416.05</v>
      </c>
      <c r="G14" s="68">
        <v>30000</v>
      </c>
      <c r="H14" s="68"/>
      <c r="I14" s="34"/>
      <c r="J14" s="5"/>
      <c r="K14" s="5"/>
    </row>
    <row r="15" spans="1:11" ht="15" customHeight="1" thickBot="1">
      <c r="A15" s="372"/>
      <c r="B15" s="385"/>
      <c r="C15" s="61">
        <v>4430</v>
      </c>
      <c r="D15" s="62" t="s">
        <v>24</v>
      </c>
      <c r="E15" s="63">
        <v>0</v>
      </c>
      <c r="F15" s="69">
        <v>119426.37</v>
      </c>
      <c r="G15" s="63">
        <v>0</v>
      </c>
      <c r="H15" s="63"/>
      <c r="I15" s="34"/>
      <c r="J15" s="5"/>
      <c r="K15" s="5"/>
    </row>
    <row r="16" spans="1:11" ht="17.25" customHeight="1" thickBot="1">
      <c r="A16" s="70" t="s">
        <v>212</v>
      </c>
      <c r="B16" s="71"/>
      <c r="C16" s="72"/>
      <c r="D16" s="73" t="s">
        <v>358</v>
      </c>
      <c r="E16" s="74">
        <f t="shared" ref="E16:H17" si="0">SUM(E17)</f>
        <v>1600000</v>
      </c>
      <c r="F16" s="60">
        <f t="shared" si="0"/>
        <v>1097372.03</v>
      </c>
      <c r="G16" s="74">
        <f t="shared" si="0"/>
        <v>1600000</v>
      </c>
      <c r="H16" s="74">
        <f t="shared" si="0"/>
        <v>0</v>
      </c>
      <c r="I16" s="34"/>
      <c r="J16" s="5"/>
      <c r="K16" s="5"/>
    </row>
    <row r="17" spans="1:11" ht="16.5" customHeight="1" thickBot="1">
      <c r="A17" s="388"/>
      <c r="B17" s="49" t="s">
        <v>211</v>
      </c>
      <c r="C17" s="50"/>
      <c r="D17" s="58" t="s">
        <v>210</v>
      </c>
      <c r="E17" s="59">
        <f t="shared" si="0"/>
        <v>1600000</v>
      </c>
      <c r="F17" s="60">
        <f t="shared" si="0"/>
        <v>1097372.03</v>
      </c>
      <c r="G17" s="59">
        <f t="shared" si="0"/>
        <v>1600000</v>
      </c>
      <c r="H17" s="59">
        <f t="shared" si="0"/>
        <v>0</v>
      </c>
      <c r="I17" s="34"/>
      <c r="J17" s="5"/>
      <c r="K17" s="5"/>
    </row>
    <row r="18" spans="1:11" ht="15" customHeight="1" thickBot="1">
      <c r="A18" s="390"/>
      <c r="B18" s="314"/>
      <c r="C18" s="54">
        <v>4300</v>
      </c>
      <c r="D18" s="75" t="s">
        <v>1</v>
      </c>
      <c r="E18" s="76">
        <f>1600000</f>
        <v>1600000</v>
      </c>
      <c r="F18" s="77">
        <v>1097372.03</v>
      </c>
      <c r="G18" s="76">
        <f>1600000</f>
        <v>1600000</v>
      </c>
      <c r="H18" s="76"/>
      <c r="I18" s="34"/>
      <c r="J18" s="5"/>
      <c r="K18" s="5"/>
    </row>
    <row r="19" spans="1:11" ht="15" customHeight="1" thickBot="1">
      <c r="A19" s="78" t="s">
        <v>209</v>
      </c>
      <c r="B19" s="79"/>
      <c r="C19" s="80"/>
      <c r="D19" s="73" t="s">
        <v>208</v>
      </c>
      <c r="E19" s="81">
        <f>SUM(E20+E22)</f>
        <v>9538931</v>
      </c>
      <c r="F19" s="82" t="e">
        <f>SUM(F20+F22)</f>
        <v>#REF!</v>
      </c>
      <c r="G19" s="81">
        <f>SUM(G20+G22)</f>
        <v>1400000</v>
      </c>
      <c r="H19" s="81">
        <f>SUM(H20+H22)</f>
        <v>8138931</v>
      </c>
      <c r="I19" s="34"/>
      <c r="J19" s="5"/>
      <c r="K19" s="5"/>
    </row>
    <row r="20" spans="1:11" ht="15" customHeight="1" thickBot="1">
      <c r="A20" s="381"/>
      <c r="B20" s="49" t="s">
        <v>207</v>
      </c>
      <c r="C20" s="50"/>
      <c r="D20" s="58" t="s">
        <v>206</v>
      </c>
      <c r="E20" s="59">
        <f>SUM(E21)</f>
        <v>690000</v>
      </c>
      <c r="F20" s="60">
        <f>SUM(F21)</f>
        <v>851752.02</v>
      </c>
      <c r="G20" s="59">
        <f>SUM(G21)</f>
        <v>0</v>
      </c>
      <c r="H20" s="59">
        <f>SUM(H21)</f>
        <v>690000</v>
      </c>
      <c r="I20" s="34"/>
      <c r="J20" s="5"/>
      <c r="K20" s="5"/>
    </row>
    <row r="21" spans="1:11" ht="43.5" thickBot="1">
      <c r="A21" s="382"/>
      <c r="B21" s="313"/>
      <c r="C21" s="54">
        <v>6300</v>
      </c>
      <c r="D21" s="55" t="s">
        <v>357</v>
      </c>
      <c r="E21" s="56">
        <f>SUM(G21:H21)</f>
        <v>690000</v>
      </c>
      <c r="F21" s="57">
        <v>851752.02</v>
      </c>
      <c r="G21" s="56"/>
      <c r="H21" s="56">
        <v>690000</v>
      </c>
      <c r="I21" s="34"/>
      <c r="J21" s="5"/>
      <c r="K21" s="5"/>
    </row>
    <row r="22" spans="1:11" ht="15" customHeight="1" thickBot="1">
      <c r="A22" s="382"/>
      <c r="B22" s="49" t="s">
        <v>205</v>
      </c>
      <c r="C22" s="50"/>
      <c r="D22" s="51" t="s">
        <v>204</v>
      </c>
      <c r="E22" s="52">
        <f>SUM(E23+E24+E25+E26+E49)</f>
        <v>8848931</v>
      </c>
      <c r="F22" s="53" t="e">
        <f>SUM(F23+F24+F25+#REF!+F26+F49)</f>
        <v>#REF!</v>
      </c>
      <c r="G22" s="52">
        <f>SUM(G23+G24+G25+G26+G49)</f>
        <v>1400000</v>
      </c>
      <c r="H22" s="52">
        <f>SUM(H23+H24+H25+H26+H49)</f>
        <v>7448931</v>
      </c>
      <c r="I22" s="34"/>
      <c r="J22" s="5"/>
      <c r="K22" s="5"/>
    </row>
    <row r="23" spans="1:11" ht="15" customHeight="1">
      <c r="A23" s="382"/>
      <c r="B23" s="409"/>
      <c r="C23" s="83">
        <v>4210</v>
      </c>
      <c r="D23" s="84" t="s">
        <v>203</v>
      </c>
      <c r="E23" s="85">
        <v>40000</v>
      </c>
      <c r="F23" s="86">
        <v>17908.349999999999</v>
      </c>
      <c r="G23" s="85">
        <v>40000</v>
      </c>
      <c r="H23" s="85"/>
      <c r="I23" s="34"/>
      <c r="J23" s="5"/>
      <c r="K23" s="5"/>
    </row>
    <row r="24" spans="1:11" ht="15" customHeight="1">
      <c r="A24" s="382"/>
      <c r="B24" s="369"/>
      <c r="C24" s="87">
        <v>4270</v>
      </c>
      <c r="D24" s="88" t="s">
        <v>202</v>
      </c>
      <c r="E24" s="85">
        <f>SUM(G24)</f>
        <v>800000</v>
      </c>
      <c r="F24" s="86">
        <v>608944.92000000004</v>
      </c>
      <c r="G24" s="85">
        <v>800000</v>
      </c>
      <c r="H24" s="85"/>
      <c r="I24" s="34"/>
      <c r="J24" s="5"/>
      <c r="K24" s="5"/>
    </row>
    <row r="25" spans="1:11" ht="15" customHeight="1">
      <c r="A25" s="382"/>
      <c r="B25" s="369"/>
      <c r="C25" s="89">
        <v>4300</v>
      </c>
      <c r="D25" s="84" t="s">
        <v>201</v>
      </c>
      <c r="E25" s="85">
        <f>SUM(G25)</f>
        <v>560000</v>
      </c>
      <c r="F25" s="86">
        <v>391719.93</v>
      </c>
      <c r="G25" s="85">
        <v>560000</v>
      </c>
      <c r="H25" s="85"/>
      <c r="I25" s="34"/>
      <c r="J25" s="5"/>
      <c r="K25" s="5"/>
    </row>
    <row r="26" spans="1:11" ht="15" customHeight="1">
      <c r="A26" s="382"/>
      <c r="B26" s="369"/>
      <c r="C26" s="89">
        <v>6050</v>
      </c>
      <c r="D26" s="84" t="s">
        <v>200</v>
      </c>
      <c r="E26" s="85">
        <f>SUM(G26:H26)</f>
        <v>7433931</v>
      </c>
      <c r="F26" s="86">
        <f>SUM(F27:F42)</f>
        <v>2330975.5099999998</v>
      </c>
      <c r="G26" s="85"/>
      <c r="H26" s="85">
        <f>SUM(H27:H48)</f>
        <v>7433931</v>
      </c>
      <c r="I26" s="34"/>
      <c r="J26" s="5"/>
      <c r="K26" s="5"/>
    </row>
    <row r="27" spans="1:11" ht="15" customHeight="1">
      <c r="A27" s="382"/>
      <c r="B27" s="369"/>
      <c r="C27" s="391"/>
      <c r="D27" s="90" t="s">
        <v>330</v>
      </c>
      <c r="E27" s="91">
        <v>516537</v>
      </c>
      <c r="F27" s="92"/>
      <c r="G27" s="91"/>
      <c r="H27" s="91">
        <v>516537</v>
      </c>
      <c r="I27" s="34"/>
      <c r="J27" s="5"/>
      <c r="K27" s="5"/>
    </row>
    <row r="28" spans="1:11" ht="15" customHeight="1">
      <c r="A28" s="382"/>
      <c r="B28" s="369"/>
      <c r="C28" s="392"/>
      <c r="D28" s="90" t="s">
        <v>331</v>
      </c>
      <c r="E28" s="91">
        <v>750000</v>
      </c>
      <c r="F28" s="92"/>
      <c r="G28" s="91"/>
      <c r="H28" s="91">
        <v>750000</v>
      </c>
      <c r="I28" s="34"/>
      <c r="J28" s="5"/>
      <c r="K28" s="5"/>
    </row>
    <row r="29" spans="1:11" ht="30" customHeight="1">
      <c r="A29" s="382"/>
      <c r="B29" s="369"/>
      <c r="C29" s="392"/>
      <c r="D29" s="93" t="s">
        <v>332</v>
      </c>
      <c r="E29" s="91">
        <v>15000</v>
      </c>
      <c r="F29" s="92">
        <v>222812.32</v>
      </c>
      <c r="G29" s="91"/>
      <c r="H29" s="91">
        <v>15000</v>
      </c>
      <c r="I29" s="34"/>
      <c r="J29" s="5"/>
      <c r="K29" s="5"/>
    </row>
    <row r="30" spans="1:11" ht="15" customHeight="1">
      <c r="A30" s="382"/>
      <c r="B30" s="369"/>
      <c r="C30" s="392"/>
      <c r="D30" s="94" t="s">
        <v>333</v>
      </c>
      <c r="E30" s="91">
        <f>SUM(G30:H30)</f>
        <v>57787</v>
      </c>
      <c r="F30" s="95">
        <v>252387.07</v>
      </c>
      <c r="G30" s="91"/>
      <c r="H30" s="91">
        <v>57787</v>
      </c>
      <c r="I30" s="34"/>
      <c r="J30" s="5"/>
      <c r="K30" s="5"/>
    </row>
    <row r="31" spans="1:11" ht="15" customHeight="1">
      <c r="A31" s="382"/>
      <c r="B31" s="369"/>
      <c r="C31" s="392"/>
      <c r="D31" s="94" t="s">
        <v>376</v>
      </c>
      <c r="E31" s="91">
        <f>240000</f>
        <v>240000</v>
      </c>
      <c r="F31" s="92"/>
      <c r="G31" s="91"/>
      <c r="H31" s="91">
        <f>E31</f>
        <v>240000</v>
      </c>
      <c r="I31" s="34"/>
      <c r="J31" s="5"/>
      <c r="K31" s="5"/>
    </row>
    <row r="32" spans="1:11" ht="15" customHeight="1">
      <c r="A32" s="382"/>
      <c r="B32" s="369"/>
      <c r="C32" s="392"/>
      <c r="D32" s="93" t="s">
        <v>328</v>
      </c>
      <c r="E32" s="91">
        <v>880000</v>
      </c>
      <c r="F32" s="92"/>
      <c r="G32" s="91"/>
      <c r="H32" s="91">
        <v>880000</v>
      </c>
      <c r="I32" s="34"/>
      <c r="J32" s="5"/>
      <c r="K32" s="5"/>
    </row>
    <row r="33" spans="1:11" ht="15" customHeight="1">
      <c r="A33" s="382"/>
      <c r="B33" s="369"/>
      <c r="C33" s="392"/>
      <c r="D33" s="94" t="s">
        <v>374</v>
      </c>
      <c r="E33" s="91">
        <v>50000</v>
      </c>
      <c r="F33" s="95">
        <v>427465.89</v>
      </c>
      <c r="G33" s="91"/>
      <c r="H33" s="91">
        <v>50000</v>
      </c>
      <c r="I33" s="34"/>
      <c r="J33" s="5"/>
      <c r="K33" s="5"/>
    </row>
    <row r="34" spans="1:11" ht="15" customHeight="1">
      <c r="A34" s="382"/>
      <c r="B34" s="369"/>
      <c r="C34" s="392"/>
      <c r="D34" s="94" t="s">
        <v>334</v>
      </c>
      <c r="E34" s="91">
        <v>900000</v>
      </c>
      <c r="F34" s="95"/>
      <c r="G34" s="91"/>
      <c r="H34" s="91">
        <v>900000</v>
      </c>
      <c r="I34" s="34"/>
      <c r="J34" s="5"/>
      <c r="K34" s="5"/>
    </row>
    <row r="35" spans="1:11" ht="15" customHeight="1">
      <c r="A35" s="382"/>
      <c r="B35" s="369"/>
      <c r="C35" s="392"/>
      <c r="D35" s="94" t="s">
        <v>329</v>
      </c>
      <c r="E35" s="91">
        <f>1000000-200000</f>
        <v>800000</v>
      </c>
      <c r="F35" s="95">
        <v>666314.81999999995</v>
      </c>
      <c r="G35" s="91"/>
      <c r="H35" s="91">
        <f>E35</f>
        <v>800000</v>
      </c>
      <c r="I35" s="34"/>
      <c r="J35" s="5"/>
      <c r="K35" s="5"/>
    </row>
    <row r="36" spans="1:11" ht="15" customHeight="1">
      <c r="A36" s="382"/>
      <c r="B36" s="369"/>
      <c r="C36" s="392"/>
      <c r="D36" s="94" t="s">
        <v>335</v>
      </c>
      <c r="E36" s="91">
        <v>350000</v>
      </c>
      <c r="F36" s="95">
        <v>378906.27</v>
      </c>
      <c r="G36" s="91"/>
      <c r="H36" s="91">
        <v>350000</v>
      </c>
      <c r="I36" s="34"/>
      <c r="J36" s="5"/>
      <c r="K36" s="5"/>
    </row>
    <row r="37" spans="1:11" ht="15" customHeight="1">
      <c r="A37" s="382"/>
      <c r="B37" s="369"/>
      <c r="C37" s="392"/>
      <c r="D37" s="93" t="s">
        <v>336</v>
      </c>
      <c r="E37" s="91">
        <v>500000</v>
      </c>
      <c r="F37" s="92">
        <v>39906.629999999997</v>
      </c>
      <c r="G37" s="91"/>
      <c r="H37" s="91">
        <v>500000</v>
      </c>
      <c r="I37" s="34"/>
      <c r="J37" s="5"/>
      <c r="K37" s="5"/>
    </row>
    <row r="38" spans="1:11" ht="30" customHeight="1">
      <c r="A38" s="382"/>
      <c r="B38" s="369"/>
      <c r="C38" s="392"/>
      <c r="D38" s="94" t="s">
        <v>368</v>
      </c>
      <c r="E38" s="91">
        <v>500000</v>
      </c>
      <c r="F38" s="95">
        <v>43525</v>
      </c>
      <c r="G38" s="91"/>
      <c r="H38" s="91">
        <v>500000</v>
      </c>
      <c r="I38" s="34"/>
      <c r="J38" s="5"/>
      <c r="K38" s="5"/>
    </row>
    <row r="39" spans="1:11" ht="15" customHeight="1">
      <c r="A39" s="382"/>
      <c r="B39" s="369"/>
      <c r="C39" s="392"/>
      <c r="D39" s="94" t="s">
        <v>337</v>
      </c>
      <c r="E39" s="91">
        <v>40000</v>
      </c>
      <c r="F39" s="92">
        <v>10980</v>
      </c>
      <c r="G39" s="91"/>
      <c r="H39" s="91">
        <v>40000</v>
      </c>
      <c r="I39" s="34"/>
      <c r="J39" s="5"/>
      <c r="K39" s="5"/>
    </row>
    <row r="40" spans="1:11" ht="15" customHeight="1">
      <c r="A40" s="382"/>
      <c r="B40" s="369"/>
      <c r="C40" s="392"/>
      <c r="D40" s="93" t="s">
        <v>338</v>
      </c>
      <c r="E40" s="91">
        <v>64607</v>
      </c>
      <c r="F40" s="92"/>
      <c r="G40" s="91"/>
      <c r="H40" s="91">
        <v>64607</v>
      </c>
      <c r="I40" s="34"/>
      <c r="J40" s="5"/>
      <c r="K40" s="5"/>
    </row>
    <row r="41" spans="1:11" ht="30" customHeight="1">
      <c r="A41" s="382"/>
      <c r="B41" s="369"/>
      <c r="C41" s="392"/>
      <c r="D41" s="94" t="s">
        <v>377</v>
      </c>
      <c r="E41" s="91">
        <f>SUM(G41:H41)</f>
        <v>370000</v>
      </c>
      <c r="F41" s="92">
        <v>288677.51</v>
      </c>
      <c r="G41" s="91"/>
      <c r="H41" s="91">
        <v>370000</v>
      </c>
      <c r="I41" s="34"/>
      <c r="J41" s="5"/>
      <c r="K41" s="5"/>
    </row>
    <row r="42" spans="1:11" ht="30" customHeight="1">
      <c r="A42" s="382"/>
      <c r="B42" s="369"/>
      <c r="C42" s="392"/>
      <c r="D42" s="96" t="s">
        <v>370</v>
      </c>
      <c r="E42" s="97">
        <f>600000-200000</f>
        <v>400000</v>
      </c>
      <c r="F42" s="95"/>
      <c r="G42" s="97"/>
      <c r="H42" s="97">
        <f>E42</f>
        <v>400000</v>
      </c>
      <c r="I42" s="34"/>
      <c r="J42" s="5"/>
      <c r="K42" s="5"/>
    </row>
    <row r="43" spans="1:11" ht="26.25" customHeight="1">
      <c r="A43" s="382"/>
      <c r="B43" s="369"/>
      <c r="C43" s="392"/>
      <c r="D43" s="98" t="s">
        <v>375</v>
      </c>
      <c r="E43" s="99">
        <f>650000-300000</f>
        <v>350000</v>
      </c>
      <c r="F43" s="100"/>
      <c r="G43" s="99"/>
      <c r="H43" s="99">
        <f>E43</f>
        <v>350000</v>
      </c>
      <c r="I43" s="34"/>
      <c r="J43" s="5"/>
      <c r="K43" s="5"/>
    </row>
    <row r="44" spans="1:11" ht="15" customHeight="1">
      <c r="A44" s="382"/>
      <c r="B44" s="369"/>
      <c r="C44" s="312"/>
      <c r="D44" s="96" t="s">
        <v>392</v>
      </c>
      <c r="E44" s="97">
        <f>SUM(G44:H44)</f>
        <v>300000</v>
      </c>
      <c r="F44" s="95"/>
      <c r="G44" s="97"/>
      <c r="H44" s="97">
        <v>300000</v>
      </c>
      <c r="I44" s="34"/>
      <c r="J44" s="5"/>
      <c r="K44" s="5"/>
    </row>
    <row r="45" spans="1:11" ht="13.5" customHeight="1">
      <c r="A45" s="382"/>
      <c r="B45" s="369"/>
      <c r="C45" s="312"/>
      <c r="D45" s="96" t="s">
        <v>393</v>
      </c>
      <c r="E45" s="97">
        <f>SUM(G45:H45)</f>
        <v>50000</v>
      </c>
      <c r="F45" s="95"/>
      <c r="G45" s="97"/>
      <c r="H45" s="97">
        <v>50000</v>
      </c>
      <c r="I45" s="34"/>
      <c r="J45" s="5"/>
      <c r="K45" s="5"/>
    </row>
    <row r="46" spans="1:11" ht="15" customHeight="1">
      <c r="A46" s="382"/>
      <c r="B46" s="369"/>
      <c r="C46" s="312"/>
      <c r="D46" s="96" t="s">
        <v>394</v>
      </c>
      <c r="E46" s="97">
        <f>SUM(G46:H46)</f>
        <v>50000</v>
      </c>
      <c r="F46" s="95"/>
      <c r="G46" s="97"/>
      <c r="H46" s="97">
        <v>50000</v>
      </c>
      <c r="I46" s="34"/>
      <c r="J46" s="5"/>
      <c r="K46" s="5"/>
    </row>
    <row r="47" spans="1:11" ht="14.25" customHeight="1">
      <c r="A47" s="382"/>
      <c r="B47" s="369"/>
      <c r="C47" s="312"/>
      <c r="D47" s="96" t="s">
        <v>395</v>
      </c>
      <c r="E47" s="97">
        <f>SUM(G47:H47)</f>
        <v>200000</v>
      </c>
      <c r="F47" s="95"/>
      <c r="G47" s="97"/>
      <c r="H47" s="97">
        <v>200000</v>
      </c>
      <c r="I47" s="34"/>
      <c r="J47" s="5"/>
      <c r="K47" s="5"/>
    </row>
    <row r="48" spans="1:11" ht="14.25" customHeight="1" thickBot="1">
      <c r="A48" s="382"/>
      <c r="B48" s="369"/>
      <c r="C48" s="101"/>
      <c r="D48" s="98" t="s">
        <v>396</v>
      </c>
      <c r="E48" s="99">
        <f>SUM(G48:H48)</f>
        <v>50000</v>
      </c>
      <c r="F48" s="100"/>
      <c r="G48" s="99"/>
      <c r="H48" s="99">
        <v>50000</v>
      </c>
      <c r="I48" s="34"/>
      <c r="J48" s="5"/>
      <c r="K48" s="5"/>
    </row>
    <row r="49" spans="1:11" ht="15" customHeight="1" thickBot="1">
      <c r="A49" s="382"/>
      <c r="B49" s="369"/>
      <c r="C49" s="101">
        <v>6060</v>
      </c>
      <c r="D49" s="102" t="s">
        <v>145</v>
      </c>
      <c r="E49" s="103">
        <f>SUM(E50)</f>
        <v>15000</v>
      </c>
      <c r="F49" s="104">
        <f>SUM(F50)</f>
        <v>0</v>
      </c>
      <c r="G49" s="103"/>
      <c r="H49" s="103">
        <f>SUM(H50)</f>
        <v>15000</v>
      </c>
      <c r="I49" s="34"/>
      <c r="J49" s="5"/>
      <c r="K49" s="5"/>
    </row>
    <row r="50" spans="1:11" ht="15" customHeight="1" thickBot="1">
      <c r="A50" s="383"/>
      <c r="B50" s="387"/>
      <c r="C50" s="101"/>
      <c r="D50" s="98" t="s">
        <v>311</v>
      </c>
      <c r="E50" s="99">
        <v>15000</v>
      </c>
      <c r="F50" s="105"/>
      <c r="G50" s="99"/>
      <c r="H50" s="99">
        <v>15000</v>
      </c>
      <c r="I50" s="34"/>
      <c r="J50" s="5"/>
      <c r="K50" s="5"/>
    </row>
    <row r="51" spans="1:11" ht="15" customHeight="1" thickBot="1">
      <c r="A51" s="78" t="s">
        <v>199</v>
      </c>
      <c r="B51" s="71"/>
      <c r="C51" s="106"/>
      <c r="D51" s="107" t="s">
        <v>198</v>
      </c>
      <c r="E51" s="108">
        <f>SUM(E52)</f>
        <v>4774000</v>
      </c>
      <c r="F51" s="53">
        <f>SUM(F52)</f>
        <v>2398565.5500000003</v>
      </c>
      <c r="G51" s="108">
        <f>SUM(G52)</f>
        <v>3734000</v>
      </c>
      <c r="H51" s="108">
        <f>SUM(H52)</f>
        <v>1040000</v>
      </c>
      <c r="I51" s="34"/>
      <c r="J51" s="5"/>
      <c r="K51" s="5"/>
    </row>
    <row r="52" spans="1:11" ht="15" customHeight="1" thickBot="1">
      <c r="A52" s="381"/>
      <c r="B52" s="49" t="s">
        <v>197</v>
      </c>
      <c r="C52" s="109"/>
      <c r="D52" s="51" t="s">
        <v>196</v>
      </c>
      <c r="E52" s="52">
        <f>SUM(E53+E54+E55+E56+E57+E58+E59+E60+E61)</f>
        <v>4774000</v>
      </c>
      <c r="F52" s="53">
        <f>SUM(F53:F61)</f>
        <v>2398565.5500000003</v>
      </c>
      <c r="G52" s="52">
        <f>SUM(G53+G54+G55+G56+G57+G58+G59+G60+G61)</f>
        <v>3734000</v>
      </c>
      <c r="H52" s="52">
        <f>SUM(H53+H54+H55+H56+H57+H58+H59+H60+H61)</f>
        <v>1040000</v>
      </c>
      <c r="I52" s="34"/>
      <c r="J52" s="5"/>
      <c r="K52" s="5"/>
    </row>
    <row r="53" spans="1:11" ht="15" customHeight="1">
      <c r="A53" s="382"/>
      <c r="B53" s="384"/>
      <c r="C53" s="110" t="s">
        <v>28</v>
      </c>
      <c r="D53" s="111" t="s">
        <v>27</v>
      </c>
      <c r="E53" s="112">
        <f>1236000</f>
        <v>1236000</v>
      </c>
      <c r="F53" s="113">
        <v>952453.3</v>
      </c>
      <c r="G53" s="112">
        <f>1236000</f>
        <v>1236000</v>
      </c>
      <c r="H53" s="112"/>
      <c r="I53" s="34"/>
      <c r="J53" s="5"/>
      <c r="K53" s="5"/>
    </row>
    <row r="54" spans="1:11" ht="15" customHeight="1">
      <c r="A54" s="382"/>
      <c r="B54" s="385"/>
      <c r="C54" s="114" t="s">
        <v>36</v>
      </c>
      <c r="D54" s="55" t="s">
        <v>81</v>
      </c>
      <c r="E54" s="56">
        <f>300000+810000</f>
        <v>1110000</v>
      </c>
      <c r="F54" s="115">
        <v>665558.36</v>
      </c>
      <c r="G54" s="56">
        <f>300000+810000</f>
        <v>1110000</v>
      </c>
      <c r="H54" s="56"/>
      <c r="I54" s="34"/>
      <c r="J54" s="5"/>
      <c r="K54" s="5"/>
    </row>
    <row r="55" spans="1:11" ht="15" customHeight="1">
      <c r="A55" s="382"/>
      <c r="B55" s="385"/>
      <c r="C55" s="116" t="s">
        <v>2</v>
      </c>
      <c r="D55" s="65" t="s">
        <v>195</v>
      </c>
      <c r="E55" s="117">
        <f>30000+858000-50000</f>
        <v>838000</v>
      </c>
      <c r="F55" s="118">
        <v>506570.75</v>
      </c>
      <c r="G55" s="117">
        <f>E55</f>
        <v>838000</v>
      </c>
      <c r="H55" s="117"/>
      <c r="I55" s="34"/>
      <c r="J55" s="5"/>
      <c r="K55" s="5"/>
    </row>
    <row r="56" spans="1:11" ht="15" customHeight="1">
      <c r="A56" s="382"/>
      <c r="B56" s="385"/>
      <c r="C56" s="116" t="s">
        <v>172</v>
      </c>
      <c r="D56" s="65" t="s">
        <v>171</v>
      </c>
      <c r="E56" s="117">
        <f>100000</f>
        <v>100000</v>
      </c>
      <c r="F56" s="118">
        <v>104817.2</v>
      </c>
      <c r="G56" s="117">
        <f>100000</f>
        <v>100000</v>
      </c>
      <c r="H56" s="117"/>
      <c r="I56" s="34"/>
      <c r="J56" s="5"/>
      <c r="K56" s="5"/>
    </row>
    <row r="57" spans="1:11" ht="15" customHeight="1">
      <c r="A57" s="382"/>
      <c r="B57" s="385"/>
      <c r="C57" s="119" t="s">
        <v>194</v>
      </c>
      <c r="D57" s="120" t="s">
        <v>371</v>
      </c>
      <c r="E57" s="121">
        <f>205000</f>
        <v>205000</v>
      </c>
      <c r="F57" s="122">
        <v>139766.82999999999</v>
      </c>
      <c r="G57" s="121">
        <f>205000</f>
        <v>205000</v>
      </c>
      <c r="H57" s="121"/>
      <c r="I57" s="34"/>
      <c r="J57" s="5"/>
      <c r="K57" s="5"/>
    </row>
    <row r="58" spans="1:11" ht="15" customHeight="1">
      <c r="A58" s="382"/>
      <c r="B58" s="385"/>
      <c r="C58" s="116" t="s">
        <v>25</v>
      </c>
      <c r="D58" s="65" t="s">
        <v>193</v>
      </c>
      <c r="E58" s="117">
        <f>35000</f>
        <v>35000</v>
      </c>
      <c r="F58" s="118">
        <v>14949.11</v>
      </c>
      <c r="G58" s="117">
        <f>35000</f>
        <v>35000</v>
      </c>
      <c r="H58" s="117"/>
      <c r="I58" s="34"/>
      <c r="J58" s="5"/>
      <c r="K58" s="5"/>
    </row>
    <row r="59" spans="1:11" ht="15" customHeight="1">
      <c r="A59" s="382"/>
      <c r="B59" s="385"/>
      <c r="C59" s="123" t="s">
        <v>192</v>
      </c>
      <c r="D59" s="62" t="s">
        <v>191</v>
      </c>
      <c r="E59" s="85">
        <f>200000</f>
        <v>200000</v>
      </c>
      <c r="F59" s="86">
        <v>12520</v>
      </c>
      <c r="G59" s="85">
        <f>200000</f>
        <v>200000</v>
      </c>
      <c r="H59" s="85"/>
      <c r="I59" s="34"/>
      <c r="J59" s="5"/>
      <c r="K59" s="5"/>
    </row>
    <row r="60" spans="1:11" ht="15" customHeight="1">
      <c r="A60" s="382"/>
      <c r="B60" s="385"/>
      <c r="C60" s="123" t="s">
        <v>190</v>
      </c>
      <c r="D60" s="62" t="s">
        <v>189</v>
      </c>
      <c r="E60" s="85">
        <f>10000</f>
        <v>10000</v>
      </c>
      <c r="F60" s="86">
        <v>1930</v>
      </c>
      <c r="G60" s="85">
        <f>10000</f>
        <v>10000</v>
      </c>
      <c r="H60" s="85"/>
      <c r="I60" s="34"/>
      <c r="J60" s="5"/>
      <c r="K60" s="5"/>
    </row>
    <row r="61" spans="1:11" ht="15" customHeight="1">
      <c r="A61" s="382"/>
      <c r="B61" s="385"/>
      <c r="C61" s="123" t="s">
        <v>34</v>
      </c>
      <c r="D61" s="62" t="s">
        <v>14</v>
      </c>
      <c r="E61" s="85">
        <f>SUM(E62:E64)</f>
        <v>1040000</v>
      </c>
      <c r="F61" s="86">
        <f>SUM(F63:F64)</f>
        <v>0</v>
      </c>
      <c r="G61" s="85"/>
      <c r="H61" s="85">
        <f>SUM(H62:H64)</f>
        <v>1040000</v>
      </c>
      <c r="I61" s="34"/>
      <c r="J61" s="5"/>
      <c r="K61" s="5"/>
    </row>
    <row r="62" spans="1:11" ht="15" customHeight="1">
      <c r="A62" s="382"/>
      <c r="B62" s="385"/>
      <c r="C62" s="368"/>
      <c r="D62" s="96" t="s">
        <v>340</v>
      </c>
      <c r="E62" s="97">
        <f>140000</f>
        <v>140000</v>
      </c>
      <c r="F62" s="124">
        <v>0</v>
      </c>
      <c r="G62" s="97"/>
      <c r="H62" s="97">
        <f>140000</f>
        <v>140000</v>
      </c>
      <c r="I62" s="34"/>
      <c r="J62" s="5"/>
      <c r="K62" s="5"/>
    </row>
    <row r="63" spans="1:11" ht="15" customHeight="1">
      <c r="A63" s="382"/>
      <c r="B63" s="385"/>
      <c r="C63" s="369"/>
      <c r="D63" s="125" t="s">
        <v>339</v>
      </c>
      <c r="E63" s="97">
        <v>800000</v>
      </c>
      <c r="F63" s="124">
        <v>0</v>
      </c>
      <c r="G63" s="97"/>
      <c r="H63" s="97">
        <v>800000</v>
      </c>
      <c r="I63" s="34"/>
      <c r="J63" s="5"/>
      <c r="K63" s="5"/>
    </row>
    <row r="64" spans="1:11" ht="15" customHeight="1" thickBot="1">
      <c r="A64" s="383"/>
      <c r="B64" s="386"/>
      <c r="C64" s="387"/>
      <c r="D64" s="125" t="s">
        <v>352</v>
      </c>
      <c r="E64" s="97">
        <f>100000</f>
        <v>100000</v>
      </c>
      <c r="F64" s="124">
        <v>0</v>
      </c>
      <c r="G64" s="97"/>
      <c r="H64" s="97">
        <f>100000</f>
        <v>100000</v>
      </c>
      <c r="I64" s="34"/>
      <c r="J64" s="5"/>
      <c r="K64" s="5"/>
    </row>
    <row r="65" spans="1:11" ht="15" customHeight="1" thickBot="1">
      <c r="A65" s="78" t="s">
        <v>188</v>
      </c>
      <c r="B65" s="71"/>
      <c r="C65" s="126"/>
      <c r="D65" s="107" t="s">
        <v>187</v>
      </c>
      <c r="E65" s="108">
        <f>SUM(E66+E69)</f>
        <v>426000</v>
      </c>
      <c r="F65" s="127">
        <f>SUM(F66+F69)</f>
        <v>102604.84</v>
      </c>
      <c r="G65" s="108">
        <f>SUM(G66+G69)</f>
        <v>426000</v>
      </c>
      <c r="H65" s="108">
        <f>SUM(H66+H69)</f>
        <v>0</v>
      </c>
      <c r="I65" s="34"/>
      <c r="J65" s="5"/>
      <c r="K65" s="5"/>
    </row>
    <row r="66" spans="1:11" ht="15" customHeight="1" thickBot="1">
      <c r="A66" s="388"/>
      <c r="B66" s="49" t="s">
        <v>186</v>
      </c>
      <c r="C66" s="109"/>
      <c r="D66" s="51" t="s">
        <v>185</v>
      </c>
      <c r="E66" s="52">
        <f>SUM(E67:E68)</f>
        <v>405000</v>
      </c>
      <c r="F66" s="127">
        <f>SUM(F67:F68)</f>
        <v>102604.84</v>
      </c>
      <c r="G66" s="52">
        <f>SUM(G67:G68)</f>
        <v>405000</v>
      </c>
      <c r="H66" s="52">
        <f>SUM(H67:H68)</f>
        <v>0</v>
      </c>
      <c r="I66" s="34"/>
      <c r="J66" s="5"/>
      <c r="K66" s="5"/>
    </row>
    <row r="67" spans="1:11" ht="15" customHeight="1">
      <c r="A67" s="389"/>
      <c r="B67" s="384"/>
      <c r="C67" s="110" t="s">
        <v>83</v>
      </c>
      <c r="D67" s="111" t="s">
        <v>82</v>
      </c>
      <c r="E67" s="85">
        <f>2000</f>
        <v>2000</v>
      </c>
      <c r="F67" s="128">
        <v>500</v>
      </c>
      <c r="G67" s="85">
        <f>2000</f>
        <v>2000</v>
      </c>
      <c r="H67" s="85"/>
      <c r="I67" s="34">
        <f>G67</f>
        <v>2000</v>
      </c>
      <c r="J67" s="5"/>
      <c r="K67" s="5"/>
    </row>
    <row r="68" spans="1:11" ht="15" customHeight="1" thickBot="1">
      <c r="A68" s="389"/>
      <c r="B68" s="385"/>
      <c r="C68" s="119" t="s">
        <v>2</v>
      </c>
      <c r="D68" s="120" t="s">
        <v>184</v>
      </c>
      <c r="E68" s="121">
        <f>403000</f>
        <v>403000</v>
      </c>
      <c r="F68" s="122">
        <v>102104.84</v>
      </c>
      <c r="G68" s="121">
        <f>403000</f>
        <v>403000</v>
      </c>
      <c r="H68" s="121"/>
      <c r="I68" s="34"/>
      <c r="J68" s="5"/>
      <c r="K68" s="5"/>
    </row>
    <row r="69" spans="1:11" ht="15" customHeight="1" thickBot="1">
      <c r="A69" s="389"/>
      <c r="B69" s="49" t="s">
        <v>321</v>
      </c>
      <c r="C69" s="129"/>
      <c r="D69" s="130" t="s">
        <v>322</v>
      </c>
      <c r="E69" s="52">
        <f>SUM(E70:E71)</f>
        <v>21000</v>
      </c>
      <c r="F69" s="131">
        <f>SUM(F71)</f>
        <v>0</v>
      </c>
      <c r="G69" s="52">
        <f>SUM(G70:G71)</f>
        <v>21000</v>
      </c>
      <c r="H69" s="52">
        <f>SUM(H70:H71)</f>
        <v>0</v>
      </c>
      <c r="I69" s="34"/>
      <c r="J69" s="5"/>
      <c r="K69" s="5"/>
    </row>
    <row r="70" spans="1:11" ht="15" customHeight="1">
      <c r="A70" s="389"/>
      <c r="B70" s="384"/>
      <c r="C70" s="114" t="s">
        <v>36</v>
      </c>
      <c r="D70" s="55" t="s">
        <v>81</v>
      </c>
      <c r="E70" s="112">
        <v>17000</v>
      </c>
      <c r="F70" s="128"/>
      <c r="G70" s="112">
        <v>17000</v>
      </c>
      <c r="H70" s="112"/>
      <c r="I70" s="34"/>
      <c r="J70" s="5"/>
      <c r="K70" s="5"/>
    </row>
    <row r="71" spans="1:11" ht="15" customHeight="1" thickBot="1">
      <c r="A71" s="390"/>
      <c r="B71" s="386"/>
      <c r="C71" s="116" t="s">
        <v>2</v>
      </c>
      <c r="D71" s="65" t="s">
        <v>195</v>
      </c>
      <c r="E71" s="56">
        <v>4000</v>
      </c>
      <c r="F71" s="57"/>
      <c r="G71" s="56">
        <v>4000</v>
      </c>
      <c r="H71" s="56"/>
      <c r="I71" s="34"/>
      <c r="J71" s="5"/>
      <c r="K71" s="5"/>
    </row>
    <row r="72" spans="1:11" ht="15" customHeight="1" thickBot="1">
      <c r="A72" s="132" t="s">
        <v>183</v>
      </c>
      <c r="B72" s="133"/>
      <c r="C72" s="134"/>
      <c r="D72" s="150" t="s">
        <v>182</v>
      </c>
      <c r="E72" s="135">
        <f>SUM(E73+E79+E83+E108+E114)</f>
        <v>12393439</v>
      </c>
      <c r="F72" s="127" t="e">
        <f>SUM(F73+F79+F83+#REF!+F108+F114)</f>
        <v>#REF!</v>
      </c>
      <c r="G72" s="135">
        <f>SUM(G73+G79+G83+G108+G114)</f>
        <v>12192789</v>
      </c>
      <c r="H72" s="135">
        <f>SUM(H73+H79+H83+H108+H114)</f>
        <v>200650</v>
      </c>
      <c r="I72" s="34"/>
      <c r="J72" s="5"/>
      <c r="K72" s="5"/>
    </row>
    <row r="73" spans="1:11" ht="15" customHeight="1" thickBot="1">
      <c r="A73" s="378"/>
      <c r="B73" s="49" t="s">
        <v>181</v>
      </c>
      <c r="C73" s="109"/>
      <c r="D73" s="51" t="s">
        <v>180</v>
      </c>
      <c r="E73" s="52">
        <f>SUM(E74:E78)</f>
        <v>164849</v>
      </c>
      <c r="F73" s="127">
        <f>SUM(F74:F78)</f>
        <v>126810</v>
      </c>
      <c r="G73" s="52">
        <f>SUM(G74:G78)</f>
        <v>164849</v>
      </c>
      <c r="H73" s="52">
        <f>SUM(H74:H78)</f>
        <v>0</v>
      </c>
      <c r="I73" s="34"/>
      <c r="J73" s="5"/>
      <c r="K73" s="5"/>
    </row>
    <row r="74" spans="1:11" ht="15" customHeight="1">
      <c r="A74" s="379"/>
      <c r="B74" s="334"/>
      <c r="C74" s="136" t="s">
        <v>90</v>
      </c>
      <c r="D74" s="137" t="s">
        <v>89</v>
      </c>
      <c r="E74" s="138">
        <f>125390</f>
        <v>125390</v>
      </c>
      <c r="F74" s="86">
        <v>88017</v>
      </c>
      <c r="G74" s="138">
        <f>125390</f>
        <v>125390</v>
      </c>
      <c r="H74" s="138"/>
      <c r="I74" s="34">
        <f>G74</f>
        <v>125390</v>
      </c>
      <c r="J74" s="5"/>
      <c r="K74" s="5"/>
    </row>
    <row r="75" spans="1:11" ht="15" customHeight="1">
      <c r="A75" s="379"/>
      <c r="B75" s="335"/>
      <c r="C75" s="139" t="s">
        <v>88</v>
      </c>
      <c r="D75" s="140" t="s">
        <v>87</v>
      </c>
      <c r="E75" s="141">
        <f>10180</f>
        <v>10180</v>
      </c>
      <c r="F75" s="118">
        <v>14240</v>
      </c>
      <c r="G75" s="141">
        <f>10180</f>
        <v>10180</v>
      </c>
      <c r="H75" s="141"/>
      <c r="I75" s="34">
        <f>G75</f>
        <v>10180</v>
      </c>
      <c r="J75" s="5"/>
      <c r="K75" s="5"/>
    </row>
    <row r="76" spans="1:11" ht="15" customHeight="1">
      <c r="A76" s="379"/>
      <c r="B76" s="335"/>
      <c r="C76" s="136" t="s">
        <v>4</v>
      </c>
      <c r="D76" s="137" t="s">
        <v>135</v>
      </c>
      <c r="E76" s="138">
        <f>19050</f>
        <v>19050</v>
      </c>
      <c r="F76" s="86">
        <v>15000</v>
      </c>
      <c r="G76" s="138">
        <f>19050</f>
        <v>19050</v>
      </c>
      <c r="H76" s="138"/>
      <c r="I76" s="34">
        <f>G76</f>
        <v>19050</v>
      </c>
      <c r="J76" s="5"/>
      <c r="K76" s="5"/>
    </row>
    <row r="77" spans="1:11" ht="15" customHeight="1">
      <c r="A77" s="379"/>
      <c r="B77" s="335"/>
      <c r="C77" s="136" t="s">
        <v>85</v>
      </c>
      <c r="D77" s="137" t="s">
        <v>84</v>
      </c>
      <c r="E77" s="138">
        <f>3079</f>
        <v>3079</v>
      </c>
      <c r="F77" s="86">
        <v>2300</v>
      </c>
      <c r="G77" s="138">
        <f>3079</f>
        <v>3079</v>
      </c>
      <c r="H77" s="138"/>
      <c r="I77" s="34">
        <f>G77</f>
        <v>3079</v>
      </c>
      <c r="J77" s="5"/>
      <c r="K77" s="5"/>
    </row>
    <row r="78" spans="1:11" ht="15" customHeight="1" thickBot="1">
      <c r="A78" s="379"/>
      <c r="B78" s="335"/>
      <c r="C78" s="142" t="s">
        <v>73</v>
      </c>
      <c r="D78" s="143" t="s">
        <v>72</v>
      </c>
      <c r="E78" s="144">
        <f>7150</f>
        <v>7150</v>
      </c>
      <c r="F78" s="118">
        <v>7253</v>
      </c>
      <c r="G78" s="144">
        <f>7150</f>
        <v>7150</v>
      </c>
      <c r="H78" s="144"/>
      <c r="I78" s="34"/>
      <c r="J78" s="5"/>
      <c r="K78" s="5"/>
    </row>
    <row r="79" spans="1:11" ht="15" customHeight="1" thickBot="1">
      <c r="A79" s="379"/>
      <c r="B79" s="49" t="s">
        <v>179</v>
      </c>
      <c r="C79" s="109"/>
      <c r="D79" s="51" t="s">
        <v>178</v>
      </c>
      <c r="E79" s="52">
        <f>SUM(E80:E82)</f>
        <v>540000</v>
      </c>
      <c r="F79" s="145">
        <f>SUM(F80:F82)</f>
        <v>326793.43</v>
      </c>
      <c r="G79" s="52">
        <f>SUM(G80:G82)</f>
        <v>540000</v>
      </c>
      <c r="H79" s="52">
        <f>SUM(H80:H82)</f>
        <v>0</v>
      </c>
      <c r="I79" s="34"/>
      <c r="J79" s="5"/>
      <c r="K79" s="5"/>
    </row>
    <row r="80" spans="1:11" ht="15" customHeight="1">
      <c r="A80" s="379"/>
      <c r="B80" s="350"/>
      <c r="C80" s="136" t="s">
        <v>150</v>
      </c>
      <c r="D80" s="137" t="s">
        <v>149</v>
      </c>
      <c r="E80" s="138">
        <v>470000</v>
      </c>
      <c r="F80" s="86">
        <v>316298.59999999998</v>
      </c>
      <c r="G80" s="138">
        <v>470000</v>
      </c>
      <c r="H80" s="138"/>
      <c r="I80" s="34"/>
      <c r="J80" s="5"/>
      <c r="K80" s="5"/>
    </row>
    <row r="81" spans="1:11" ht="15" customHeight="1">
      <c r="A81" s="379"/>
      <c r="B81" s="351"/>
      <c r="C81" s="136" t="s">
        <v>30</v>
      </c>
      <c r="D81" s="137" t="s">
        <v>29</v>
      </c>
      <c r="E81" s="138">
        <f>30000-15000</f>
        <v>15000</v>
      </c>
      <c r="F81" s="86">
        <v>10067.83</v>
      </c>
      <c r="G81" s="138">
        <f>E81</f>
        <v>15000</v>
      </c>
      <c r="H81" s="138"/>
      <c r="I81" s="34"/>
      <c r="J81" s="5"/>
      <c r="K81" s="5"/>
    </row>
    <row r="82" spans="1:11" ht="15" customHeight="1" thickBot="1">
      <c r="A82" s="379"/>
      <c r="B82" s="351"/>
      <c r="C82" s="136" t="s">
        <v>2</v>
      </c>
      <c r="D82" s="140" t="s">
        <v>26</v>
      </c>
      <c r="E82" s="138">
        <f>SUM(G82)</f>
        <v>55000</v>
      </c>
      <c r="F82" s="86">
        <v>427</v>
      </c>
      <c r="G82" s="138">
        <v>55000</v>
      </c>
      <c r="H82" s="138"/>
      <c r="I82" s="34"/>
      <c r="J82" s="5"/>
      <c r="K82" s="5"/>
    </row>
    <row r="83" spans="1:11" ht="15" customHeight="1" thickBot="1">
      <c r="A83" s="379"/>
      <c r="B83" s="49" t="s">
        <v>177</v>
      </c>
      <c r="C83" s="109"/>
      <c r="D83" s="51" t="s">
        <v>176</v>
      </c>
      <c r="E83" s="52">
        <f>SUM(E84+E85+E86+E87+E88+E89+E90+E91+E92+E93+E94+E95+E96+E97+E98+E99+E100+E101+E102+E103+E104+E105+E106+E107)</f>
        <v>10392940</v>
      </c>
      <c r="F83" s="127" t="e">
        <f>SUM(F84+F85+F86+F87+F88+F89+F90+F91+F92+F93+F94+F95+F96+F97+F98+F99+F100+F101+F102+F103+F104+F106+#REF!+#REF!+#REF!+F107+F105)</f>
        <v>#REF!</v>
      </c>
      <c r="G83" s="52">
        <f>SUM(G84+G85+G86+G87+G88+G89+G90+G91+G92+G93+G94+G95+G96+G97+G98+G99+G100+G101+G102+G103+G104+G105+G106+G107)</f>
        <v>10235940</v>
      </c>
      <c r="H83" s="52">
        <f>SUM(H84+H85+H86+H87+H88+H89+H90+H91+H92+H93+H94+H95+H96+H97+H98+H99+H100+H101+H102+H103+H104+H105+H106+H107)</f>
        <v>157000</v>
      </c>
      <c r="I83" s="34"/>
      <c r="J83" s="5"/>
      <c r="K83" s="5"/>
    </row>
    <row r="84" spans="1:11" ht="45" customHeight="1">
      <c r="A84" s="379"/>
      <c r="B84" s="334"/>
      <c r="C84" s="146">
        <v>2900</v>
      </c>
      <c r="D84" s="147" t="s">
        <v>288</v>
      </c>
      <c r="E84" s="138">
        <f>42240</f>
        <v>42240</v>
      </c>
      <c r="F84" s="86">
        <v>31680</v>
      </c>
      <c r="G84" s="138">
        <f>42240</f>
        <v>42240</v>
      </c>
      <c r="H84" s="138"/>
      <c r="I84" s="34"/>
      <c r="J84" s="5"/>
      <c r="K84" s="5"/>
    </row>
    <row r="85" spans="1:11" ht="15" customHeight="1">
      <c r="A85" s="379"/>
      <c r="B85" s="335"/>
      <c r="C85" s="136" t="s">
        <v>92</v>
      </c>
      <c r="D85" s="137" t="s">
        <v>91</v>
      </c>
      <c r="E85" s="138">
        <f>70000</f>
        <v>70000</v>
      </c>
      <c r="F85" s="86">
        <v>35199.120000000003</v>
      </c>
      <c r="G85" s="138">
        <f>70000</f>
        <v>70000</v>
      </c>
      <c r="H85" s="138"/>
      <c r="I85" s="34"/>
      <c r="J85" s="5"/>
      <c r="K85" s="5"/>
    </row>
    <row r="86" spans="1:11" ht="15" customHeight="1">
      <c r="A86" s="379"/>
      <c r="B86" s="335"/>
      <c r="C86" s="139" t="s">
        <v>90</v>
      </c>
      <c r="D86" s="140" t="s">
        <v>89</v>
      </c>
      <c r="E86" s="141">
        <f>G86</f>
        <v>6285000</v>
      </c>
      <c r="F86" s="118">
        <v>4500561.5999999996</v>
      </c>
      <c r="G86" s="141">
        <v>6285000</v>
      </c>
      <c r="H86" s="141"/>
      <c r="I86" s="34">
        <f>G86</f>
        <v>6285000</v>
      </c>
      <c r="J86" s="5"/>
      <c r="K86" s="5"/>
    </row>
    <row r="87" spans="1:11" ht="15" customHeight="1">
      <c r="A87" s="379"/>
      <c r="B87" s="335"/>
      <c r="C87" s="139" t="s">
        <v>88</v>
      </c>
      <c r="D87" s="140" t="s">
        <v>87</v>
      </c>
      <c r="E87" s="141">
        <v>520650</v>
      </c>
      <c r="F87" s="118">
        <v>425556.42</v>
      </c>
      <c r="G87" s="141">
        <v>520650</v>
      </c>
      <c r="H87" s="141"/>
      <c r="I87" s="34">
        <f>G87</f>
        <v>520650</v>
      </c>
      <c r="J87" s="5"/>
      <c r="K87" s="5"/>
    </row>
    <row r="88" spans="1:11" ht="15" customHeight="1">
      <c r="A88" s="379"/>
      <c r="B88" s="335"/>
      <c r="C88" s="136" t="s">
        <v>4</v>
      </c>
      <c r="D88" s="137" t="s">
        <v>135</v>
      </c>
      <c r="E88" s="138">
        <f>1042800-20000-15000</f>
        <v>1007800</v>
      </c>
      <c r="F88" s="86">
        <v>724644.09</v>
      </c>
      <c r="G88" s="138">
        <f>E88</f>
        <v>1007800</v>
      </c>
      <c r="H88" s="138"/>
      <c r="I88" s="34">
        <f>G88</f>
        <v>1007800</v>
      </c>
      <c r="J88" s="5"/>
      <c r="K88" s="5"/>
    </row>
    <row r="89" spans="1:11" ht="15" customHeight="1">
      <c r="A89" s="379"/>
      <c r="B89" s="335"/>
      <c r="C89" s="139" t="s">
        <v>85</v>
      </c>
      <c r="D89" s="140" t="s">
        <v>84</v>
      </c>
      <c r="E89" s="141">
        <f>168200-5000</f>
        <v>163200</v>
      </c>
      <c r="F89" s="118">
        <v>100406.66</v>
      </c>
      <c r="G89" s="141">
        <f>E89</f>
        <v>163200</v>
      </c>
      <c r="H89" s="141"/>
      <c r="I89" s="34">
        <f>G89</f>
        <v>163200</v>
      </c>
      <c r="J89" s="5"/>
      <c r="K89" s="5"/>
    </row>
    <row r="90" spans="1:11" ht="15" customHeight="1">
      <c r="A90" s="379"/>
      <c r="B90" s="335"/>
      <c r="C90" s="136" t="s">
        <v>175</v>
      </c>
      <c r="D90" s="137" t="s">
        <v>174</v>
      </c>
      <c r="E90" s="141">
        <v>90000</v>
      </c>
      <c r="F90" s="86">
        <v>58015</v>
      </c>
      <c r="G90" s="141">
        <v>90000</v>
      </c>
      <c r="H90" s="141"/>
      <c r="I90" s="34"/>
      <c r="J90" s="5"/>
      <c r="K90" s="5"/>
    </row>
    <row r="91" spans="1:11" ht="15" customHeight="1">
      <c r="A91" s="379"/>
      <c r="B91" s="335"/>
      <c r="C91" s="136" t="s">
        <v>83</v>
      </c>
      <c r="D91" s="137" t="s">
        <v>82</v>
      </c>
      <c r="E91" s="141">
        <f>G91</f>
        <v>90000</v>
      </c>
      <c r="F91" s="86">
        <v>83020</v>
      </c>
      <c r="G91" s="141">
        <f>105000-15000</f>
        <v>90000</v>
      </c>
      <c r="H91" s="141"/>
      <c r="I91" s="34">
        <f>G90</f>
        <v>90000</v>
      </c>
      <c r="J91" s="5"/>
      <c r="K91" s="5"/>
    </row>
    <row r="92" spans="1:11" ht="15" customHeight="1">
      <c r="A92" s="379"/>
      <c r="B92" s="335"/>
      <c r="C92" s="136" t="s">
        <v>30</v>
      </c>
      <c r="D92" s="137" t="s">
        <v>29</v>
      </c>
      <c r="E92" s="138">
        <f>550000-50000</f>
        <v>500000</v>
      </c>
      <c r="F92" s="86">
        <v>218279.59</v>
      </c>
      <c r="G92" s="138">
        <f>E92</f>
        <v>500000</v>
      </c>
      <c r="H92" s="138"/>
      <c r="I92" s="34"/>
      <c r="J92" s="5"/>
      <c r="K92" s="5"/>
    </row>
    <row r="93" spans="1:11" ht="15" customHeight="1">
      <c r="A93" s="379"/>
      <c r="B93" s="335"/>
      <c r="C93" s="136" t="s">
        <v>28</v>
      </c>
      <c r="D93" s="137" t="s">
        <v>27</v>
      </c>
      <c r="E93" s="141">
        <f>165000-30000</f>
        <v>135000</v>
      </c>
      <c r="F93" s="86">
        <v>90961.53</v>
      </c>
      <c r="G93" s="141">
        <f>E93</f>
        <v>135000</v>
      </c>
      <c r="H93" s="141"/>
      <c r="I93" s="34"/>
      <c r="J93" s="5"/>
      <c r="K93" s="5"/>
    </row>
    <row r="94" spans="1:11" ht="15" customHeight="1">
      <c r="A94" s="379"/>
      <c r="B94" s="335"/>
      <c r="C94" s="139" t="s">
        <v>36</v>
      </c>
      <c r="D94" s="140" t="s">
        <v>173</v>
      </c>
      <c r="E94" s="141">
        <f>250000-50000</f>
        <v>200000</v>
      </c>
      <c r="F94" s="118">
        <v>188159.85</v>
      </c>
      <c r="G94" s="141">
        <f>250000-50000</f>
        <v>200000</v>
      </c>
      <c r="H94" s="141"/>
      <c r="I94" s="34"/>
      <c r="J94" s="5"/>
      <c r="K94" s="5"/>
    </row>
    <row r="95" spans="1:11" ht="15" customHeight="1">
      <c r="A95" s="379"/>
      <c r="B95" s="335"/>
      <c r="C95" s="139" t="s">
        <v>80</v>
      </c>
      <c r="D95" s="140" t="s">
        <v>79</v>
      </c>
      <c r="E95" s="141">
        <f>10000</f>
        <v>10000</v>
      </c>
      <c r="F95" s="118">
        <v>2942</v>
      </c>
      <c r="G95" s="141">
        <f>10000</f>
        <v>10000</v>
      </c>
      <c r="H95" s="141"/>
      <c r="I95" s="34"/>
      <c r="J95" s="5"/>
      <c r="K95" s="5"/>
    </row>
    <row r="96" spans="1:11" ht="15" customHeight="1">
      <c r="A96" s="379"/>
      <c r="B96" s="335"/>
      <c r="C96" s="139" t="s">
        <v>2</v>
      </c>
      <c r="D96" s="140" t="s">
        <v>26</v>
      </c>
      <c r="E96" s="141">
        <f>410000-10000-50000</f>
        <v>350000</v>
      </c>
      <c r="F96" s="118">
        <v>277758.71999999997</v>
      </c>
      <c r="G96" s="141">
        <f>E96</f>
        <v>350000</v>
      </c>
      <c r="H96" s="141"/>
      <c r="I96" s="34"/>
      <c r="J96" s="5"/>
      <c r="K96" s="5"/>
    </row>
    <row r="97" spans="1:11" ht="15" customHeight="1">
      <c r="A97" s="379"/>
      <c r="B97" s="335"/>
      <c r="C97" s="139" t="s">
        <v>78</v>
      </c>
      <c r="D97" s="140" t="s">
        <v>77</v>
      </c>
      <c r="E97" s="141">
        <f>50000</f>
        <v>50000</v>
      </c>
      <c r="F97" s="118">
        <v>32494.47</v>
      </c>
      <c r="G97" s="141">
        <f>50000</f>
        <v>50000</v>
      </c>
      <c r="H97" s="141"/>
      <c r="I97" s="34"/>
      <c r="J97" s="5"/>
      <c r="K97" s="5"/>
    </row>
    <row r="98" spans="1:11" ht="30" customHeight="1">
      <c r="A98" s="379"/>
      <c r="B98" s="335"/>
      <c r="C98" s="139" t="s">
        <v>146</v>
      </c>
      <c r="D98" s="140" t="s">
        <v>323</v>
      </c>
      <c r="E98" s="141">
        <f>60000</f>
        <v>60000</v>
      </c>
      <c r="F98" s="118">
        <v>40960.01</v>
      </c>
      <c r="G98" s="141">
        <f>60000</f>
        <v>60000</v>
      </c>
      <c r="H98" s="141"/>
      <c r="I98" s="34"/>
      <c r="J98" s="5"/>
      <c r="K98" s="5"/>
    </row>
    <row r="99" spans="1:11" ht="30" customHeight="1">
      <c r="A99" s="379"/>
      <c r="B99" s="335"/>
      <c r="C99" s="139" t="s">
        <v>76</v>
      </c>
      <c r="D99" s="140" t="s">
        <v>324</v>
      </c>
      <c r="E99" s="141">
        <f>85000</f>
        <v>85000</v>
      </c>
      <c r="F99" s="118">
        <v>50376.25</v>
      </c>
      <c r="G99" s="141">
        <f>85000</f>
        <v>85000</v>
      </c>
      <c r="H99" s="141"/>
      <c r="I99" s="34"/>
      <c r="J99" s="5"/>
      <c r="K99" s="5"/>
    </row>
    <row r="100" spans="1:11" ht="15" customHeight="1">
      <c r="A100" s="379"/>
      <c r="B100" s="335"/>
      <c r="C100" s="136" t="s">
        <v>172</v>
      </c>
      <c r="D100" s="137" t="s">
        <v>171</v>
      </c>
      <c r="E100" s="138">
        <f>5000</f>
        <v>5000</v>
      </c>
      <c r="F100" s="86"/>
      <c r="G100" s="138">
        <f>5000</f>
        <v>5000</v>
      </c>
      <c r="H100" s="138"/>
      <c r="I100" s="34"/>
      <c r="J100" s="5"/>
      <c r="K100" s="5"/>
    </row>
    <row r="101" spans="1:11" ht="15" customHeight="1">
      <c r="A101" s="379"/>
      <c r="B101" s="335"/>
      <c r="C101" s="139" t="s">
        <v>75</v>
      </c>
      <c r="D101" s="140" t="s">
        <v>74</v>
      </c>
      <c r="E101" s="141">
        <f>110000-10000-10000</f>
        <v>90000</v>
      </c>
      <c r="F101" s="118">
        <v>73238.39</v>
      </c>
      <c r="G101" s="141">
        <f>E101</f>
        <v>90000</v>
      </c>
      <c r="H101" s="141"/>
      <c r="I101" s="34"/>
      <c r="J101" s="5"/>
      <c r="K101" s="5"/>
    </row>
    <row r="102" spans="1:11" ht="15" customHeight="1">
      <c r="A102" s="379"/>
      <c r="B102" s="335"/>
      <c r="C102" s="139" t="s">
        <v>170</v>
      </c>
      <c r="D102" s="140" t="s">
        <v>169</v>
      </c>
      <c r="E102" s="141">
        <f>35000-15000</f>
        <v>20000</v>
      </c>
      <c r="F102" s="118">
        <v>523.51</v>
      </c>
      <c r="G102" s="141">
        <f>E102</f>
        <v>20000</v>
      </c>
      <c r="H102" s="141"/>
      <c r="I102" s="34"/>
      <c r="J102" s="5"/>
      <c r="K102" s="5"/>
    </row>
    <row r="103" spans="1:11" ht="15" customHeight="1">
      <c r="A103" s="379"/>
      <c r="B103" s="335"/>
      <c r="C103" s="136" t="s">
        <v>25</v>
      </c>
      <c r="D103" s="137" t="s">
        <v>24</v>
      </c>
      <c r="E103" s="138">
        <f>250000</f>
        <v>250000</v>
      </c>
      <c r="F103" s="86">
        <v>53163.64</v>
      </c>
      <c r="G103" s="138">
        <f>250000</f>
        <v>250000</v>
      </c>
      <c r="H103" s="138"/>
      <c r="I103" s="34"/>
      <c r="J103" s="5"/>
      <c r="K103" s="5"/>
    </row>
    <row r="104" spans="1:11" ht="15" customHeight="1">
      <c r="A104" s="379"/>
      <c r="B104" s="335"/>
      <c r="C104" s="136" t="s">
        <v>73</v>
      </c>
      <c r="D104" s="137" t="s">
        <v>72</v>
      </c>
      <c r="E104" s="138">
        <v>135850</v>
      </c>
      <c r="F104" s="86">
        <v>146200</v>
      </c>
      <c r="G104" s="138">
        <v>135850</v>
      </c>
      <c r="H104" s="138"/>
      <c r="I104" s="34"/>
      <c r="J104" s="5"/>
      <c r="K104" s="5"/>
    </row>
    <row r="105" spans="1:11" ht="15" customHeight="1">
      <c r="A105" s="379"/>
      <c r="B105" s="335"/>
      <c r="C105" s="136" t="s">
        <v>286</v>
      </c>
      <c r="D105" s="137" t="s">
        <v>287</v>
      </c>
      <c r="E105" s="141">
        <f>1200</f>
        <v>1200</v>
      </c>
      <c r="F105" s="118">
        <v>1200</v>
      </c>
      <c r="G105" s="141">
        <f>1200</f>
        <v>1200</v>
      </c>
      <c r="H105" s="141"/>
      <c r="I105" s="34"/>
      <c r="J105" s="5"/>
      <c r="K105" s="5"/>
    </row>
    <row r="106" spans="1:11" ht="15" customHeight="1">
      <c r="A106" s="379"/>
      <c r="B106" s="335"/>
      <c r="C106" s="139" t="s">
        <v>71</v>
      </c>
      <c r="D106" s="140" t="s">
        <v>70</v>
      </c>
      <c r="E106" s="141">
        <f>90000-15000</f>
        <v>75000</v>
      </c>
      <c r="F106" s="118">
        <v>35244.800000000003</v>
      </c>
      <c r="G106" s="141">
        <f>E106</f>
        <v>75000</v>
      </c>
      <c r="H106" s="141"/>
      <c r="I106" s="34"/>
      <c r="J106" s="5"/>
      <c r="K106" s="5"/>
    </row>
    <row r="107" spans="1:11" ht="15" customHeight="1" thickBot="1">
      <c r="A107" s="379"/>
      <c r="B107" s="336"/>
      <c r="C107" s="139" t="s">
        <v>69</v>
      </c>
      <c r="D107" s="140" t="s">
        <v>145</v>
      </c>
      <c r="E107" s="141">
        <f>157000</f>
        <v>157000</v>
      </c>
      <c r="F107" s="118" t="e">
        <f>SUM(#REF!)</f>
        <v>#REF!</v>
      </c>
      <c r="G107" s="141"/>
      <c r="H107" s="141">
        <v>157000</v>
      </c>
      <c r="I107" s="34"/>
      <c r="J107" s="5"/>
      <c r="K107" s="5"/>
    </row>
    <row r="108" spans="1:11" ht="15" customHeight="1" thickBot="1">
      <c r="A108" s="379"/>
      <c r="B108" s="49" t="s">
        <v>168</v>
      </c>
      <c r="C108" s="148"/>
      <c r="D108" s="149" t="s">
        <v>167</v>
      </c>
      <c r="E108" s="52">
        <f>SUM(E109:E113)</f>
        <v>915000</v>
      </c>
      <c r="F108" s="53">
        <f>SUM(F109:F113)</f>
        <v>608361.86</v>
      </c>
      <c r="G108" s="52">
        <f>SUM(G109:G113)</f>
        <v>915000</v>
      </c>
      <c r="H108" s="52">
        <f>SUM(H109:H113)</f>
        <v>0</v>
      </c>
      <c r="I108" s="34"/>
      <c r="J108" s="5"/>
      <c r="K108" s="5"/>
    </row>
    <row r="109" spans="1:11" ht="15" customHeight="1">
      <c r="A109" s="379"/>
      <c r="B109" s="342"/>
      <c r="C109" s="136" t="s">
        <v>83</v>
      </c>
      <c r="D109" s="137" t="s">
        <v>82</v>
      </c>
      <c r="E109" s="138">
        <v>50000</v>
      </c>
      <c r="F109" s="86">
        <v>13770</v>
      </c>
      <c r="G109" s="138">
        <v>50000</v>
      </c>
      <c r="H109" s="138"/>
      <c r="I109" s="34">
        <f>G109</f>
        <v>50000</v>
      </c>
      <c r="J109" s="5"/>
      <c r="K109" s="5"/>
    </row>
    <row r="110" spans="1:11" ht="15" customHeight="1">
      <c r="A110" s="379"/>
      <c r="B110" s="343"/>
      <c r="C110" s="139" t="s">
        <v>30</v>
      </c>
      <c r="D110" s="137" t="s">
        <v>29</v>
      </c>
      <c r="E110" s="141">
        <f>380000-100000</f>
        <v>280000</v>
      </c>
      <c r="F110" s="118">
        <v>208036.6</v>
      </c>
      <c r="G110" s="141">
        <f>E110</f>
        <v>280000</v>
      </c>
      <c r="H110" s="141"/>
      <c r="I110" s="34"/>
      <c r="J110" s="5"/>
      <c r="K110" s="5"/>
    </row>
    <row r="111" spans="1:11" ht="15" customHeight="1">
      <c r="A111" s="379"/>
      <c r="B111" s="343"/>
      <c r="C111" s="139" t="s">
        <v>28</v>
      </c>
      <c r="D111" s="137" t="s">
        <v>27</v>
      </c>
      <c r="E111" s="141">
        <v>5000</v>
      </c>
      <c r="F111" s="118">
        <v>4571.07</v>
      </c>
      <c r="G111" s="141">
        <v>5000</v>
      </c>
      <c r="H111" s="141"/>
      <c r="I111" s="34"/>
      <c r="J111" s="5"/>
      <c r="K111" s="5"/>
    </row>
    <row r="112" spans="1:11" ht="15" customHeight="1">
      <c r="A112" s="379"/>
      <c r="B112" s="343"/>
      <c r="C112" s="139" t="s">
        <v>2</v>
      </c>
      <c r="D112" s="140" t="s">
        <v>26</v>
      </c>
      <c r="E112" s="141">
        <f>800000-300000</f>
        <v>500000</v>
      </c>
      <c r="F112" s="118"/>
      <c r="G112" s="141">
        <f>E112</f>
        <v>500000</v>
      </c>
      <c r="H112" s="141"/>
      <c r="I112" s="34"/>
      <c r="J112" s="5"/>
      <c r="K112" s="5"/>
    </row>
    <row r="113" spans="1:11" ht="15" customHeight="1" thickBot="1">
      <c r="A113" s="379"/>
      <c r="B113" s="344"/>
      <c r="C113" s="139" t="s">
        <v>25</v>
      </c>
      <c r="D113" s="140" t="s">
        <v>24</v>
      </c>
      <c r="E113" s="141">
        <v>80000</v>
      </c>
      <c r="F113" s="118">
        <v>381984.19</v>
      </c>
      <c r="G113" s="141">
        <v>80000</v>
      </c>
      <c r="H113" s="141"/>
      <c r="I113" s="34"/>
      <c r="J113" s="5"/>
      <c r="K113" s="5"/>
    </row>
    <row r="114" spans="1:11" ht="15" customHeight="1" thickBot="1">
      <c r="A114" s="379"/>
      <c r="B114" s="49" t="s">
        <v>166</v>
      </c>
      <c r="C114" s="109"/>
      <c r="D114" s="51" t="s">
        <v>11</v>
      </c>
      <c r="E114" s="52">
        <f>SUM(E115:E121)</f>
        <v>380650</v>
      </c>
      <c r="F114" s="127">
        <f>SUM(F115:F121)</f>
        <v>161455.62</v>
      </c>
      <c r="G114" s="52">
        <f>SUM(G115:G121)</f>
        <v>337000</v>
      </c>
      <c r="H114" s="52">
        <f>SUM(H115:H121)</f>
        <v>43650</v>
      </c>
      <c r="I114" s="34"/>
      <c r="J114" s="5"/>
      <c r="K114" s="5"/>
    </row>
    <row r="115" spans="1:11" ht="15" customHeight="1">
      <c r="A115" s="379"/>
      <c r="B115" s="342"/>
      <c r="C115" s="136" t="s">
        <v>150</v>
      </c>
      <c r="D115" s="137" t="s">
        <v>149</v>
      </c>
      <c r="E115" s="138">
        <f>126000-20000-20000</f>
        <v>86000</v>
      </c>
      <c r="F115" s="86">
        <v>49000</v>
      </c>
      <c r="G115" s="138">
        <f>E115</f>
        <v>86000</v>
      </c>
      <c r="H115" s="138"/>
      <c r="I115" s="34"/>
      <c r="J115" s="5"/>
      <c r="K115" s="5"/>
    </row>
    <row r="116" spans="1:11" ht="15" customHeight="1">
      <c r="A116" s="379"/>
      <c r="B116" s="343"/>
      <c r="C116" s="136" t="s">
        <v>83</v>
      </c>
      <c r="D116" s="137" t="s">
        <v>82</v>
      </c>
      <c r="E116" s="138">
        <v>45000</v>
      </c>
      <c r="F116" s="86">
        <v>20685</v>
      </c>
      <c r="G116" s="138">
        <v>45000</v>
      </c>
      <c r="H116" s="138"/>
      <c r="I116" s="34">
        <f>G116</f>
        <v>45000</v>
      </c>
      <c r="J116" s="5"/>
      <c r="K116" s="5"/>
    </row>
    <row r="117" spans="1:11" ht="15" customHeight="1">
      <c r="A117" s="379"/>
      <c r="B117" s="343"/>
      <c r="C117" s="136" t="s">
        <v>30</v>
      </c>
      <c r="D117" s="137" t="s">
        <v>29</v>
      </c>
      <c r="E117" s="141">
        <f>120000-10000-20000</f>
        <v>90000</v>
      </c>
      <c r="F117" s="86">
        <v>20302.39</v>
      </c>
      <c r="G117" s="141">
        <f>E117</f>
        <v>90000</v>
      </c>
      <c r="H117" s="141"/>
      <c r="I117" s="34"/>
      <c r="J117" s="5"/>
      <c r="K117" s="5"/>
    </row>
    <row r="118" spans="1:11" ht="15" customHeight="1">
      <c r="A118" s="379"/>
      <c r="B118" s="343"/>
      <c r="C118" s="139" t="s">
        <v>28</v>
      </c>
      <c r="D118" s="140" t="s">
        <v>165</v>
      </c>
      <c r="E118" s="141">
        <v>3000</v>
      </c>
      <c r="F118" s="118">
        <v>1320.51</v>
      </c>
      <c r="G118" s="141">
        <v>3000</v>
      </c>
      <c r="H118" s="141"/>
      <c r="I118" s="34"/>
      <c r="J118" s="5"/>
      <c r="K118" s="5"/>
    </row>
    <row r="119" spans="1:11" ht="15" customHeight="1">
      <c r="A119" s="379"/>
      <c r="B119" s="343"/>
      <c r="C119" s="139" t="s">
        <v>2</v>
      </c>
      <c r="D119" s="140" t="s">
        <v>164</v>
      </c>
      <c r="E119" s="141">
        <f>80000+30000</f>
        <v>110000</v>
      </c>
      <c r="F119" s="118">
        <v>69178.5</v>
      </c>
      <c r="G119" s="141">
        <f>E119</f>
        <v>110000</v>
      </c>
      <c r="H119" s="141"/>
      <c r="I119" s="34"/>
      <c r="J119" s="5"/>
      <c r="K119" s="5"/>
    </row>
    <row r="120" spans="1:11" ht="15" customHeight="1">
      <c r="A120" s="379"/>
      <c r="B120" s="343"/>
      <c r="C120" s="136" t="s">
        <v>25</v>
      </c>
      <c r="D120" s="137" t="s">
        <v>24</v>
      </c>
      <c r="E120" s="138">
        <v>3000</v>
      </c>
      <c r="F120" s="86"/>
      <c r="G120" s="138">
        <v>3000</v>
      </c>
      <c r="H120" s="138"/>
      <c r="I120" s="34"/>
      <c r="J120" s="5"/>
      <c r="K120" s="5"/>
    </row>
    <row r="121" spans="1:11" ht="45" customHeight="1" thickBot="1">
      <c r="A121" s="380"/>
      <c r="B121" s="344"/>
      <c r="C121" s="136" t="s">
        <v>278</v>
      </c>
      <c r="D121" s="137" t="s">
        <v>363</v>
      </c>
      <c r="E121" s="138">
        <v>43650</v>
      </c>
      <c r="F121" s="86">
        <v>969.22</v>
      </c>
      <c r="G121" s="138"/>
      <c r="H121" s="138">
        <v>43650</v>
      </c>
      <c r="I121" s="34"/>
      <c r="J121" s="5"/>
      <c r="K121" s="5"/>
    </row>
    <row r="122" spans="1:11" ht="30.95" customHeight="1" thickBot="1">
      <c r="A122" s="132" t="s">
        <v>163</v>
      </c>
      <c r="B122" s="133"/>
      <c r="C122" s="134"/>
      <c r="D122" s="150" t="s">
        <v>162</v>
      </c>
      <c r="E122" s="135">
        <f>SUM(E123)</f>
        <v>5291</v>
      </c>
      <c r="F122" s="127" t="e">
        <f>SUM(F123+#REF!)</f>
        <v>#REF!</v>
      </c>
      <c r="G122" s="135">
        <f>SUM(G123)</f>
        <v>5291</v>
      </c>
      <c r="H122" s="135">
        <f>SUM(H123)</f>
        <v>0</v>
      </c>
      <c r="I122" s="34"/>
      <c r="J122" s="5"/>
      <c r="K122" s="5"/>
    </row>
    <row r="123" spans="1:11" ht="30.95" customHeight="1" thickBot="1">
      <c r="A123" s="371"/>
      <c r="B123" s="325" t="s">
        <v>161</v>
      </c>
      <c r="C123" s="151"/>
      <c r="D123" s="152" t="s">
        <v>160</v>
      </c>
      <c r="E123" s="153">
        <f>SUM(E124:E126)</f>
        <v>5291</v>
      </c>
      <c r="F123" s="145">
        <f>SUM(F124:F126)</f>
        <v>3979.75</v>
      </c>
      <c r="G123" s="153">
        <f>SUM(G124:G126)</f>
        <v>5291</v>
      </c>
      <c r="H123" s="153">
        <f>SUM(H124:H126)</f>
        <v>0</v>
      </c>
      <c r="I123" s="34"/>
      <c r="J123" s="5"/>
      <c r="K123" s="5"/>
    </row>
    <row r="124" spans="1:11" ht="15" customHeight="1">
      <c r="A124" s="372"/>
      <c r="B124" s="334"/>
      <c r="C124" s="136" t="s">
        <v>4</v>
      </c>
      <c r="D124" s="137" t="s">
        <v>135</v>
      </c>
      <c r="E124" s="138">
        <v>683</v>
      </c>
      <c r="F124" s="86">
        <v>513.85</v>
      </c>
      <c r="G124" s="138">
        <v>683</v>
      </c>
      <c r="H124" s="138"/>
      <c r="I124" s="34">
        <f>G124</f>
        <v>683</v>
      </c>
      <c r="J124" s="5"/>
      <c r="K124" s="5"/>
    </row>
    <row r="125" spans="1:11" ht="15" customHeight="1">
      <c r="A125" s="372"/>
      <c r="B125" s="335"/>
      <c r="C125" s="139" t="s">
        <v>85</v>
      </c>
      <c r="D125" s="140" t="s">
        <v>84</v>
      </c>
      <c r="E125" s="141">
        <v>110</v>
      </c>
      <c r="F125" s="118">
        <v>82.9</v>
      </c>
      <c r="G125" s="141">
        <v>110</v>
      </c>
      <c r="H125" s="141"/>
      <c r="I125" s="34">
        <f>G125</f>
        <v>110</v>
      </c>
      <c r="J125" s="5"/>
      <c r="K125" s="5"/>
    </row>
    <row r="126" spans="1:11" ht="15" customHeight="1" thickBot="1">
      <c r="A126" s="373"/>
      <c r="B126" s="335"/>
      <c r="C126" s="154" t="s">
        <v>83</v>
      </c>
      <c r="D126" s="143" t="s">
        <v>82</v>
      </c>
      <c r="E126" s="144">
        <v>4498</v>
      </c>
      <c r="F126" s="122">
        <v>3383</v>
      </c>
      <c r="G126" s="144">
        <v>4498</v>
      </c>
      <c r="H126" s="144"/>
      <c r="I126" s="34">
        <f>G126</f>
        <v>4498</v>
      </c>
      <c r="J126" s="5"/>
      <c r="K126" s="5"/>
    </row>
    <row r="127" spans="1:11" ht="30.95" customHeight="1" thickBot="1">
      <c r="A127" s="132" t="s">
        <v>159</v>
      </c>
      <c r="B127" s="155"/>
      <c r="C127" s="156"/>
      <c r="D127" s="150" t="s">
        <v>158</v>
      </c>
      <c r="E127" s="135">
        <f>SUM(E128+E130+E132+E156+E162+E169)</f>
        <v>1885450</v>
      </c>
      <c r="F127" s="127" t="e">
        <f>SUM(F128+F130+F132+F156+F162+F169)</f>
        <v>#REF!</v>
      </c>
      <c r="G127" s="135">
        <f>SUM(G128+G130+G132+G156+G162+G169)</f>
        <v>1260450</v>
      </c>
      <c r="H127" s="135">
        <f>SUM(H128+H130+H132+H156+H162+H169)</f>
        <v>625000</v>
      </c>
      <c r="I127" s="34"/>
      <c r="J127" s="5"/>
      <c r="K127" s="5"/>
    </row>
    <row r="128" spans="1:11" ht="15" customHeight="1" thickBot="1">
      <c r="A128" s="365"/>
      <c r="B128" s="157" t="s">
        <v>157</v>
      </c>
      <c r="C128" s="158"/>
      <c r="D128" s="51" t="s">
        <v>156</v>
      </c>
      <c r="E128" s="52">
        <f>SUM(E129:E129)</f>
        <v>200000</v>
      </c>
      <c r="F128" s="127">
        <f>SUM(F129:F129)</f>
        <v>180000</v>
      </c>
      <c r="G128" s="52">
        <f>SUM(G129:G129)</f>
        <v>200000</v>
      </c>
      <c r="H128" s="52">
        <f>SUM(H129:H129)</f>
        <v>0</v>
      </c>
      <c r="I128" s="34"/>
      <c r="J128" s="5"/>
      <c r="K128" s="5"/>
    </row>
    <row r="129" spans="1:11" ht="15" customHeight="1" thickBot="1">
      <c r="A129" s="366"/>
      <c r="B129" s="322"/>
      <c r="C129" s="159" t="s">
        <v>155</v>
      </c>
      <c r="D129" s="160" t="s">
        <v>388</v>
      </c>
      <c r="E129" s="161">
        <v>200000</v>
      </c>
      <c r="F129" s="57">
        <v>180000</v>
      </c>
      <c r="G129" s="161">
        <v>200000</v>
      </c>
      <c r="H129" s="161"/>
      <c r="I129" s="34"/>
      <c r="J129" s="5"/>
      <c r="K129" s="5"/>
    </row>
    <row r="130" spans="1:11" ht="15" customHeight="1" thickBot="1">
      <c r="A130" s="366"/>
      <c r="B130" s="49" t="s">
        <v>154</v>
      </c>
      <c r="C130" s="109"/>
      <c r="D130" s="51" t="s">
        <v>153</v>
      </c>
      <c r="E130" s="52">
        <f>SUM(E131:E131)</f>
        <v>200000</v>
      </c>
      <c r="F130" s="127">
        <f>SUM(F131:F131)</f>
        <v>29818.76</v>
      </c>
      <c r="G130" s="52">
        <f>SUM(G131:G131)</f>
        <v>0</v>
      </c>
      <c r="H130" s="52">
        <f>SUM(H131:H131)</f>
        <v>200000</v>
      </c>
      <c r="I130" s="34"/>
      <c r="J130" s="5"/>
      <c r="K130" s="5"/>
    </row>
    <row r="131" spans="1:11" ht="45" customHeight="1" thickBot="1">
      <c r="A131" s="366"/>
      <c r="B131" s="319"/>
      <c r="C131" s="159" t="s">
        <v>102</v>
      </c>
      <c r="D131" s="55" t="s">
        <v>357</v>
      </c>
      <c r="E131" s="161">
        <v>200000</v>
      </c>
      <c r="F131" s="86">
        <v>29818.76</v>
      </c>
      <c r="G131" s="161"/>
      <c r="H131" s="161">
        <v>200000</v>
      </c>
      <c r="I131" s="34"/>
      <c r="J131" s="5"/>
      <c r="K131" s="5"/>
    </row>
    <row r="132" spans="1:11" ht="15" customHeight="1" thickBot="1">
      <c r="A132" s="366"/>
      <c r="B132" s="49" t="s">
        <v>152</v>
      </c>
      <c r="C132" s="109"/>
      <c r="D132" s="51" t="s">
        <v>151</v>
      </c>
      <c r="E132" s="52">
        <f>SUM(E133:E152,E155)</f>
        <v>1390600</v>
      </c>
      <c r="F132" s="145" t="e">
        <f>SUM(F133:F155)</f>
        <v>#REF!</v>
      </c>
      <c r="G132" s="52">
        <f>SUM(G133:G152,G155)</f>
        <v>985600</v>
      </c>
      <c r="H132" s="52">
        <f>SUM(H133:H152,H155)</f>
        <v>405000</v>
      </c>
      <c r="I132" s="34"/>
      <c r="J132" s="5"/>
      <c r="K132" s="5"/>
    </row>
    <row r="133" spans="1:11" ht="15" customHeight="1">
      <c r="A133" s="366"/>
      <c r="B133" s="334"/>
      <c r="C133" s="136" t="s">
        <v>92</v>
      </c>
      <c r="D133" s="137" t="s">
        <v>91</v>
      </c>
      <c r="E133" s="138">
        <v>50000</v>
      </c>
      <c r="F133" s="86">
        <v>0</v>
      </c>
      <c r="G133" s="138">
        <v>50000</v>
      </c>
      <c r="H133" s="138"/>
      <c r="I133" s="34"/>
      <c r="J133" s="5"/>
      <c r="K133" s="5"/>
    </row>
    <row r="134" spans="1:11" ht="15" customHeight="1">
      <c r="A134" s="366"/>
      <c r="B134" s="335"/>
      <c r="C134" s="136" t="s">
        <v>150</v>
      </c>
      <c r="D134" s="137" t="s">
        <v>149</v>
      </c>
      <c r="E134" s="138">
        <v>105000</v>
      </c>
      <c r="F134" s="86">
        <v>55572</v>
      </c>
      <c r="G134" s="138">
        <v>105000</v>
      </c>
      <c r="H134" s="138"/>
      <c r="I134" s="34"/>
      <c r="J134" s="5"/>
      <c r="K134" s="5"/>
    </row>
    <row r="135" spans="1:11" ht="15" customHeight="1">
      <c r="A135" s="366"/>
      <c r="B135" s="335"/>
      <c r="C135" s="139" t="s">
        <v>90</v>
      </c>
      <c r="D135" s="140" t="s">
        <v>89</v>
      </c>
      <c r="E135" s="141">
        <v>110000</v>
      </c>
      <c r="F135" s="118">
        <v>65863.25</v>
      </c>
      <c r="G135" s="141">
        <v>110000</v>
      </c>
      <c r="H135" s="141"/>
      <c r="I135" s="34">
        <f>G135</f>
        <v>110000</v>
      </c>
      <c r="J135" s="5"/>
      <c r="K135" s="5"/>
    </row>
    <row r="136" spans="1:11" ht="15" customHeight="1">
      <c r="A136" s="366"/>
      <c r="B136" s="335"/>
      <c r="C136" s="139" t="s">
        <v>88</v>
      </c>
      <c r="D136" s="140" t="s">
        <v>87</v>
      </c>
      <c r="E136" s="141">
        <v>10000</v>
      </c>
      <c r="F136" s="118">
        <v>7085.77</v>
      </c>
      <c r="G136" s="141">
        <v>10000</v>
      </c>
      <c r="H136" s="141"/>
      <c r="I136" s="34">
        <f>G136</f>
        <v>10000</v>
      </c>
      <c r="J136" s="5"/>
      <c r="K136" s="5"/>
    </row>
    <row r="137" spans="1:11" ht="15" customHeight="1">
      <c r="A137" s="366"/>
      <c r="B137" s="335"/>
      <c r="C137" s="136" t="s">
        <v>4</v>
      </c>
      <c r="D137" s="137" t="s">
        <v>135</v>
      </c>
      <c r="E137" s="138">
        <v>28000</v>
      </c>
      <c r="F137" s="86">
        <v>20087.62</v>
      </c>
      <c r="G137" s="138">
        <v>28000</v>
      </c>
      <c r="H137" s="138"/>
      <c r="I137" s="34">
        <f>G137</f>
        <v>28000</v>
      </c>
      <c r="J137" s="5"/>
      <c r="K137" s="5"/>
    </row>
    <row r="138" spans="1:11" ht="15" customHeight="1">
      <c r="A138" s="366"/>
      <c r="B138" s="335"/>
      <c r="C138" s="139" t="s">
        <v>85</v>
      </c>
      <c r="D138" s="140" t="s">
        <v>84</v>
      </c>
      <c r="E138" s="141">
        <v>4000</v>
      </c>
      <c r="F138" s="118">
        <v>2152.42</v>
      </c>
      <c r="G138" s="141">
        <v>4000</v>
      </c>
      <c r="H138" s="141"/>
      <c r="I138" s="34">
        <f>G138</f>
        <v>4000</v>
      </c>
      <c r="J138" s="5"/>
      <c r="K138" s="5"/>
    </row>
    <row r="139" spans="1:11" ht="15" customHeight="1">
      <c r="A139" s="366"/>
      <c r="B139" s="335"/>
      <c r="C139" s="139" t="s">
        <v>83</v>
      </c>
      <c r="D139" s="140" t="s">
        <v>82</v>
      </c>
      <c r="E139" s="141">
        <v>190000</v>
      </c>
      <c r="F139" s="118">
        <v>137000</v>
      </c>
      <c r="G139" s="141">
        <v>190000</v>
      </c>
      <c r="H139" s="141"/>
      <c r="I139" s="34">
        <f>G139</f>
        <v>190000</v>
      </c>
      <c r="J139" s="5"/>
      <c r="K139" s="5"/>
    </row>
    <row r="140" spans="1:11" ht="15" customHeight="1">
      <c r="A140" s="366"/>
      <c r="B140" s="335"/>
      <c r="C140" s="139" t="s">
        <v>30</v>
      </c>
      <c r="D140" s="140" t="s">
        <v>29</v>
      </c>
      <c r="E140" s="141">
        <f>190000-10000-10000</f>
        <v>170000</v>
      </c>
      <c r="F140" s="118">
        <v>92796.74</v>
      </c>
      <c r="G140" s="141">
        <f>E140</f>
        <v>170000</v>
      </c>
      <c r="H140" s="141"/>
      <c r="I140" s="34"/>
      <c r="J140" s="5"/>
      <c r="K140" s="5"/>
    </row>
    <row r="141" spans="1:11" ht="15" customHeight="1">
      <c r="A141" s="366"/>
      <c r="B141" s="335"/>
      <c r="C141" s="139" t="s">
        <v>148</v>
      </c>
      <c r="D141" s="140" t="s">
        <v>147</v>
      </c>
      <c r="E141" s="141">
        <v>3000</v>
      </c>
      <c r="F141" s="118">
        <v>496.76</v>
      </c>
      <c r="G141" s="141">
        <v>3000</v>
      </c>
      <c r="H141" s="141"/>
      <c r="I141" s="34"/>
      <c r="J141" s="5"/>
      <c r="K141" s="5"/>
    </row>
    <row r="142" spans="1:11" ht="15" customHeight="1">
      <c r="A142" s="366"/>
      <c r="B142" s="335"/>
      <c r="C142" s="139" t="s">
        <v>28</v>
      </c>
      <c r="D142" s="140" t="s">
        <v>27</v>
      </c>
      <c r="E142" s="141">
        <f>138000-10000</f>
        <v>128000</v>
      </c>
      <c r="F142" s="118">
        <v>105707.61</v>
      </c>
      <c r="G142" s="141">
        <f>E142</f>
        <v>128000</v>
      </c>
      <c r="H142" s="141"/>
      <c r="I142" s="34"/>
      <c r="J142" s="5"/>
      <c r="K142" s="5"/>
    </row>
    <row r="143" spans="1:11" ht="15" customHeight="1">
      <c r="A143" s="366"/>
      <c r="B143" s="335"/>
      <c r="C143" s="139" t="s">
        <v>36</v>
      </c>
      <c r="D143" s="140" t="s">
        <v>81</v>
      </c>
      <c r="E143" s="141">
        <f>105000-10000</f>
        <v>95000</v>
      </c>
      <c r="F143" s="118">
        <v>18693.09</v>
      </c>
      <c r="G143" s="141">
        <f>E143</f>
        <v>95000</v>
      </c>
      <c r="H143" s="141"/>
      <c r="I143" s="34"/>
      <c r="J143" s="5"/>
      <c r="K143" s="5"/>
    </row>
    <row r="144" spans="1:11" ht="15" customHeight="1">
      <c r="A144" s="366"/>
      <c r="B144" s="335"/>
      <c r="C144" s="136" t="s">
        <v>80</v>
      </c>
      <c r="D144" s="137" t="s">
        <v>79</v>
      </c>
      <c r="E144" s="138">
        <v>10000</v>
      </c>
      <c r="F144" s="86">
        <v>1080</v>
      </c>
      <c r="G144" s="138">
        <v>10000</v>
      </c>
      <c r="H144" s="138"/>
      <c r="I144" s="34"/>
      <c r="J144" s="5"/>
      <c r="K144" s="5"/>
    </row>
    <row r="145" spans="1:11" ht="15" customHeight="1">
      <c r="A145" s="366"/>
      <c r="B145" s="335"/>
      <c r="C145" s="139" t="s">
        <v>2</v>
      </c>
      <c r="D145" s="140" t="s">
        <v>26</v>
      </c>
      <c r="E145" s="141">
        <v>20000</v>
      </c>
      <c r="F145" s="118">
        <v>12862.78</v>
      </c>
      <c r="G145" s="141">
        <v>20000</v>
      </c>
      <c r="H145" s="141"/>
      <c r="I145" s="34"/>
      <c r="J145" s="5"/>
      <c r="K145" s="5"/>
    </row>
    <row r="146" spans="1:11" ht="30" customHeight="1">
      <c r="A146" s="366"/>
      <c r="B146" s="335"/>
      <c r="C146" s="139" t="s">
        <v>146</v>
      </c>
      <c r="D146" s="140" t="s">
        <v>323</v>
      </c>
      <c r="E146" s="141">
        <v>11000</v>
      </c>
      <c r="F146" s="118">
        <v>9200.2099999999991</v>
      </c>
      <c r="G146" s="141">
        <v>11000</v>
      </c>
      <c r="H146" s="141"/>
      <c r="I146" s="34"/>
      <c r="J146" s="5"/>
      <c r="K146" s="5"/>
    </row>
    <row r="147" spans="1:11" ht="30" customHeight="1">
      <c r="A147" s="366"/>
      <c r="B147" s="335"/>
      <c r="C147" s="139" t="s">
        <v>76</v>
      </c>
      <c r="D147" s="140" t="s">
        <v>324</v>
      </c>
      <c r="E147" s="141">
        <v>6000</v>
      </c>
      <c r="F147" s="118">
        <v>4081.92</v>
      </c>
      <c r="G147" s="141">
        <v>6000</v>
      </c>
      <c r="H147" s="141"/>
      <c r="I147" s="34"/>
      <c r="J147" s="5"/>
      <c r="K147" s="5"/>
    </row>
    <row r="148" spans="1:11" ht="15" customHeight="1">
      <c r="A148" s="366"/>
      <c r="B148" s="335"/>
      <c r="C148" s="139" t="s">
        <v>75</v>
      </c>
      <c r="D148" s="140" t="s">
        <v>74</v>
      </c>
      <c r="E148" s="141">
        <v>100</v>
      </c>
      <c r="F148" s="118">
        <v>92</v>
      </c>
      <c r="G148" s="141">
        <v>100</v>
      </c>
      <c r="H148" s="141"/>
      <c r="I148" s="34"/>
      <c r="J148" s="5"/>
      <c r="K148" s="5"/>
    </row>
    <row r="149" spans="1:11" ht="15" customHeight="1">
      <c r="A149" s="366"/>
      <c r="B149" s="335"/>
      <c r="C149" s="136" t="s">
        <v>25</v>
      </c>
      <c r="D149" s="137" t="s">
        <v>24</v>
      </c>
      <c r="E149" s="138">
        <v>30000</v>
      </c>
      <c r="F149" s="86">
        <v>22147.81</v>
      </c>
      <c r="G149" s="138">
        <v>30000</v>
      </c>
      <c r="H149" s="138"/>
      <c r="I149" s="34"/>
      <c r="J149" s="5"/>
      <c r="K149" s="5"/>
    </row>
    <row r="150" spans="1:11" ht="15" customHeight="1">
      <c r="A150" s="366"/>
      <c r="B150" s="335"/>
      <c r="C150" s="139" t="s">
        <v>73</v>
      </c>
      <c r="D150" s="140" t="s">
        <v>72</v>
      </c>
      <c r="E150" s="141">
        <v>3500</v>
      </c>
      <c r="F150" s="118">
        <v>3500</v>
      </c>
      <c r="G150" s="141">
        <v>3500</v>
      </c>
      <c r="H150" s="141"/>
      <c r="I150" s="34"/>
      <c r="J150" s="5"/>
      <c r="K150" s="5"/>
    </row>
    <row r="151" spans="1:11" ht="15" customHeight="1">
      <c r="A151" s="366"/>
      <c r="B151" s="335"/>
      <c r="C151" s="139" t="s">
        <v>71</v>
      </c>
      <c r="D151" s="143" t="s">
        <v>70</v>
      </c>
      <c r="E151" s="144">
        <v>12000</v>
      </c>
      <c r="F151" s="118">
        <v>11045</v>
      </c>
      <c r="G151" s="144">
        <v>12000</v>
      </c>
      <c r="H151" s="144"/>
      <c r="I151" s="34"/>
      <c r="J151" s="5"/>
      <c r="K151" s="5"/>
    </row>
    <row r="152" spans="1:11" ht="15" customHeight="1">
      <c r="A152" s="366"/>
      <c r="B152" s="335"/>
      <c r="C152" s="162" t="s">
        <v>34</v>
      </c>
      <c r="D152" s="65" t="s">
        <v>14</v>
      </c>
      <c r="E152" s="117">
        <f>E153+E154</f>
        <v>305000</v>
      </c>
      <c r="F152" s="118"/>
      <c r="G152" s="117"/>
      <c r="H152" s="117">
        <f>H153+H154</f>
        <v>305000</v>
      </c>
      <c r="I152" s="34"/>
      <c r="J152" s="5"/>
      <c r="K152" s="5"/>
    </row>
    <row r="153" spans="1:11" ht="15" customHeight="1">
      <c r="A153" s="366"/>
      <c r="B153" s="335"/>
      <c r="C153" s="368"/>
      <c r="D153" s="163" t="s">
        <v>341</v>
      </c>
      <c r="E153" s="97">
        <v>5000</v>
      </c>
      <c r="F153" s="124"/>
      <c r="G153" s="97"/>
      <c r="H153" s="97">
        <v>5000</v>
      </c>
      <c r="I153" s="34"/>
      <c r="J153" s="5"/>
      <c r="K153" s="5"/>
    </row>
    <row r="154" spans="1:11" ht="15" customHeight="1">
      <c r="A154" s="366"/>
      <c r="B154" s="335"/>
      <c r="C154" s="370"/>
      <c r="D154" s="163" t="s">
        <v>384</v>
      </c>
      <c r="E154" s="97">
        <f>H154</f>
        <v>300000</v>
      </c>
      <c r="F154" s="124"/>
      <c r="G154" s="97"/>
      <c r="H154" s="97">
        <v>300000</v>
      </c>
      <c r="I154" s="34"/>
      <c r="J154" s="5"/>
      <c r="K154" s="5"/>
    </row>
    <row r="155" spans="1:11" ht="15" customHeight="1" thickBot="1">
      <c r="A155" s="366"/>
      <c r="B155" s="336"/>
      <c r="C155" s="139" t="s">
        <v>69</v>
      </c>
      <c r="D155" s="143" t="s">
        <v>145</v>
      </c>
      <c r="E155" s="97">
        <f>100000</f>
        <v>100000</v>
      </c>
      <c r="F155" s="118" t="e">
        <f>SUM(SUM(#REF!))</f>
        <v>#REF!</v>
      </c>
      <c r="G155" s="97"/>
      <c r="H155" s="97">
        <f>E155</f>
        <v>100000</v>
      </c>
      <c r="I155" s="34"/>
      <c r="J155" s="5"/>
      <c r="K155" s="5"/>
    </row>
    <row r="156" spans="1:11" ht="15" customHeight="1" thickBot="1">
      <c r="A156" s="366"/>
      <c r="B156" s="49" t="s">
        <v>144</v>
      </c>
      <c r="C156" s="109"/>
      <c r="D156" s="51" t="s">
        <v>143</v>
      </c>
      <c r="E156" s="52">
        <f>SUM(E157:E161)</f>
        <v>15000</v>
      </c>
      <c r="F156" s="145">
        <f>SUM(F157:F161)</f>
        <v>1752.38</v>
      </c>
      <c r="G156" s="52">
        <f>SUM(G157:G161)</f>
        <v>15000</v>
      </c>
      <c r="H156" s="52">
        <f>SUM(H157:H161)</f>
        <v>0</v>
      </c>
      <c r="I156" s="34"/>
      <c r="J156" s="5"/>
      <c r="K156" s="5"/>
    </row>
    <row r="157" spans="1:11" ht="15" customHeight="1">
      <c r="A157" s="366"/>
      <c r="B157" s="334"/>
      <c r="C157" s="136" t="s">
        <v>4</v>
      </c>
      <c r="D157" s="137" t="s">
        <v>135</v>
      </c>
      <c r="E157" s="138">
        <f>150</f>
        <v>150</v>
      </c>
      <c r="F157" s="86">
        <v>223.27</v>
      </c>
      <c r="G157" s="138">
        <f>150</f>
        <v>150</v>
      </c>
      <c r="H157" s="138"/>
      <c r="I157" s="34">
        <f>G157</f>
        <v>150</v>
      </c>
      <c r="J157" s="5"/>
      <c r="K157" s="5"/>
    </row>
    <row r="158" spans="1:11" ht="15" customHeight="1">
      <c r="A158" s="366"/>
      <c r="B158" s="335"/>
      <c r="C158" s="136" t="s">
        <v>85</v>
      </c>
      <c r="D158" s="137" t="s">
        <v>84</v>
      </c>
      <c r="E158" s="141">
        <f>50</f>
        <v>50</v>
      </c>
      <c r="F158" s="86">
        <v>59.11</v>
      </c>
      <c r="G158" s="141">
        <f>50</f>
        <v>50</v>
      </c>
      <c r="H158" s="141"/>
      <c r="I158" s="34">
        <f>G158</f>
        <v>50</v>
      </c>
      <c r="J158" s="5"/>
      <c r="K158" s="5"/>
    </row>
    <row r="159" spans="1:11" ht="15" customHeight="1">
      <c r="A159" s="366"/>
      <c r="B159" s="335"/>
      <c r="C159" s="136" t="s">
        <v>83</v>
      </c>
      <c r="D159" s="137" t="s">
        <v>82</v>
      </c>
      <c r="E159" s="141">
        <f>800</f>
        <v>800</v>
      </c>
      <c r="F159" s="86">
        <v>1470</v>
      </c>
      <c r="G159" s="141">
        <f>800</f>
        <v>800</v>
      </c>
      <c r="H159" s="141"/>
      <c r="I159" s="34">
        <f>G159</f>
        <v>800</v>
      </c>
      <c r="J159" s="5"/>
      <c r="K159" s="5"/>
    </row>
    <row r="160" spans="1:11" ht="15" customHeight="1">
      <c r="A160" s="366"/>
      <c r="B160" s="335"/>
      <c r="C160" s="164" t="s">
        <v>30</v>
      </c>
      <c r="D160" s="140" t="s">
        <v>29</v>
      </c>
      <c r="E160" s="141">
        <v>11000</v>
      </c>
      <c r="F160" s="86"/>
      <c r="G160" s="141">
        <v>11000</v>
      </c>
      <c r="H160" s="141"/>
      <c r="I160" s="34"/>
      <c r="J160" s="5"/>
      <c r="K160" s="5"/>
    </row>
    <row r="161" spans="1:11" ht="15" customHeight="1" thickBot="1">
      <c r="A161" s="366"/>
      <c r="B161" s="336"/>
      <c r="C161" s="139" t="s">
        <v>2</v>
      </c>
      <c r="D161" s="140" t="s">
        <v>26</v>
      </c>
      <c r="E161" s="141">
        <v>3000</v>
      </c>
      <c r="F161" s="118"/>
      <c r="G161" s="141">
        <v>3000</v>
      </c>
      <c r="H161" s="141"/>
      <c r="I161" s="34"/>
      <c r="J161" s="5"/>
      <c r="K161" s="5"/>
    </row>
    <row r="162" spans="1:11" ht="15" customHeight="1" thickBot="1">
      <c r="A162" s="366"/>
      <c r="B162" s="49" t="s">
        <v>273</v>
      </c>
      <c r="C162" s="109"/>
      <c r="D162" s="51" t="s">
        <v>274</v>
      </c>
      <c r="E162" s="52">
        <f>SUM(E163:E168)</f>
        <v>44850</v>
      </c>
      <c r="F162" s="53">
        <f>SUM(F163:F168)</f>
        <v>494496.34</v>
      </c>
      <c r="G162" s="52">
        <f>SUM(G163:G168)</f>
        <v>24850</v>
      </c>
      <c r="H162" s="52">
        <f>SUM(H163:H168)</f>
        <v>20000</v>
      </c>
      <c r="I162" s="34"/>
      <c r="J162" s="5"/>
      <c r="K162" s="5"/>
    </row>
    <row r="163" spans="1:11" ht="15" customHeight="1">
      <c r="A163" s="366"/>
      <c r="B163" s="342"/>
      <c r="C163" s="136" t="s">
        <v>4</v>
      </c>
      <c r="D163" s="137" t="s">
        <v>135</v>
      </c>
      <c r="E163" s="138">
        <f>700</f>
        <v>700</v>
      </c>
      <c r="F163" s="86">
        <v>4715.24</v>
      </c>
      <c r="G163" s="138">
        <f>E163</f>
        <v>700</v>
      </c>
      <c r="H163" s="138"/>
      <c r="I163" s="34">
        <f>G163</f>
        <v>700</v>
      </c>
      <c r="J163" s="5"/>
      <c r="K163" s="5"/>
    </row>
    <row r="164" spans="1:11" ht="15" customHeight="1">
      <c r="A164" s="366"/>
      <c r="B164" s="343"/>
      <c r="C164" s="136" t="s">
        <v>85</v>
      </c>
      <c r="D164" s="137" t="s">
        <v>84</v>
      </c>
      <c r="E164" s="138">
        <f>150</f>
        <v>150</v>
      </c>
      <c r="F164" s="86">
        <v>760.52</v>
      </c>
      <c r="G164" s="138">
        <f>E164</f>
        <v>150</v>
      </c>
      <c r="H164" s="138"/>
      <c r="I164" s="34">
        <f>G164</f>
        <v>150</v>
      </c>
      <c r="J164" s="5"/>
      <c r="K164" s="5"/>
    </row>
    <row r="165" spans="1:11" ht="15" customHeight="1">
      <c r="A165" s="366"/>
      <c r="B165" s="343"/>
      <c r="C165" s="136" t="s">
        <v>83</v>
      </c>
      <c r="D165" s="140" t="s">
        <v>82</v>
      </c>
      <c r="E165" s="138">
        <v>4000</v>
      </c>
      <c r="F165" s="86"/>
      <c r="G165" s="138">
        <v>4000</v>
      </c>
      <c r="H165" s="138"/>
      <c r="I165" s="34">
        <f>G165</f>
        <v>4000</v>
      </c>
      <c r="J165" s="5"/>
      <c r="K165" s="5"/>
    </row>
    <row r="166" spans="1:11" ht="15" customHeight="1">
      <c r="A166" s="366"/>
      <c r="B166" s="343"/>
      <c r="C166" s="136" t="s">
        <v>2</v>
      </c>
      <c r="D166" s="140" t="s">
        <v>26</v>
      </c>
      <c r="E166" s="138">
        <v>15000</v>
      </c>
      <c r="F166" s="86">
        <v>489020.58</v>
      </c>
      <c r="G166" s="138">
        <f>E166</f>
        <v>15000</v>
      </c>
      <c r="H166" s="138"/>
      <c r="I166" s="34"/>
      <c r="J166" s="5"/>
      <c r="K166" s="5"/>
    </row>
    <row r="167" spans="1:11" ht="15" customHeight="1">
      <c r="A167" s="366"/>
      <c r="B167" s="343"/>
      <c r="C167" s="139" t="s">
        <v>71</v>
      </c>
      <c r="D167" s="140" t="s">
        <v>70</v>
      </c>
      <c r="E167" s="138">
        <v>5000</v>
      </c>
      <c r="F167" s="86"/>
      <c r="G167" s="138">
        <v>5000</v>
      </c>
      <c r="H167" s="138"/>
      <c r="I167" s="34"/>
      <c r="J167" s="5"/>
      <c r="K167" s="5"/>
    </row>
    <row r="168" spans="1:11" ht="45" customHeight="1" thickBot="1">
      <c r="A168" s="366"/>
      <c r="B168" s="344"/>
      <c r="C168" s="159" t="s">
        <v>102</v>
      </c>
      <c r="D168" s="55" t="s">
        <v>357</v>
      </c>
      <c r="E168" s="161">
        <v>20000</v>
      </c>
      <c r="F168" s="86"/>
      <c r="G168" s="161"/>
      <c r="H168" s="161">
        <f>E168</f>
        <v>20000</v>
      </c>
      <c r="I168" s="34"/>
      <c r="J168" s="5"/>
      <c r="K168" s="5"/>
    </row>
    <row r="169" spans="1:11" ht="15" customHeight="1" thickBot="1">
      <c r="A169" s="366"/>
      <c r="B169" s="49" t="s">
        <v>142</v>
      </c>
      <c r="C169" s="109"/>
      <c r="D169" s="51" t="s">
        <v>11</v>
      </c>
      <c r="E169" s="52">
        <f>SUM(E170:E173)</f>
        <v>35000</v>
      </c>
      <c r="F169" s="145">
        <f>SUM(F170:F173)</f>
        <v>20560.36</v>
      </c>
      <c r="G169" s="52">
        <f>SUM(G170:G173)</f>
        <v>35000</v>
      </c>
      <c r="H169" s="52">
        <f>SUM(H170:H173)</f>
        <v>0</v>
      </c>
      <c r="I169" s="34"/>
      <c r="J169" s="5"/>
      <c r="K169" s="5"/>
    </row>
    <row r="170" spans="1:11" ht="45" customHeight="1" thickBot="1">
      <c r="A170" s="366"/>
      <c r="B170" s="334"/>
      <c r="C170" s="136" t="s">
        <v>10</v>
      </c>
      <c r="D170" s="137" t="s">
        <v>59</v>
      </c>
      <c r="E170" s="138">
        <v>10000</v>
      </c>
      <c r="F170" s="165"/>
      <c r="G170" s="138">
        <v>10000</v>
      </c>
      <c r="H170" s="138"/>
      <c r="I170" s="34"/>
      <c r="J170" s="5"/>
      <c r="K170" s="5"/>
    </row>
    <row r="171" spans="1:11" ht="15" customHeight="1">
      <c r="A171" s="366"/>
      <c r="B171" s="335"/>
      <c r="C171" s="136" t="s">
        <v>36</v>
      </c>
      <c r="D171" s="166" t="s">
        <v>41</v>
      </c>
      <c r="E171" s="138">
        <f>20000-10000</f>
        <v>10000</v>
      </c>
      <c r="F171" s="167">
        <v>10507.84</v>
      </c>
      <c r="G171" s="138">
        <f>E171</f>
        <v>10000</v>
      </c>
      <c r="H171" s="138"/>
      <c r="I171" s="34"/>
      <c r="J171" s="5"/>
      <c r="K171" s="5"/>
    </row>
    <row r="172" spans="1:11" ht="15" customHeight="1">
      <c r="A172" s="366"/>
      <c r="B172" s="335"/>
      <c r="C172" s="139" t="s">
        <v>2</v>
      </c>
      <c r="D172" s="140" t="s">
        <v>26</v>
      </c>
      <c r="E172" s="141">
        <f>15000-5000</f>
        <v>10000</v>
      </c>
      <c r="F172" s="118">
        <v>10052.52</v>
      </c>
      <c r="G172" s="141">
        <f>E172</f>
        <v>10000</v>
      </c>
      <c r="H172" s="141"/>
      <c r="I172" s="34"/>
      <c r="J172" s="5"/>
      <c r="K172" s="5"/>
    </row>
    <row r="173" spans="1:11" ht="15" customHeight="1" thickBot="1">
      <c r="A173" s="367"/>
      <c r="B173" s="336"/>
      <c r="C173" s="164" t="s">
        <v>25</v>
      </c>
      <c r="D173" s="140" t="s">
        <v>24</v>
      </c>
      <c r="E173" s="141">
        <v>5000</v>
      </c>
      <c r="F173" s="118"/>
      <c r="G173" s="141">
        <v>5000</v>
      </c>
      <c r="H173" s="141"/>
      <c r="I173" s="34"/>
      <c r="J173" s="5"/>
      <c r="K173" s="5"/>
    </row>
    <row r="174" spans="1:11" ht="45.95" customHeight="1" thickBot="1">
      <c r="A174" s="132" t="s">
        <v>141</v>
      </c>
      <c r="B174" s="133"/>
      <c r="C174" s="134"/>
      <c r="D174" s="150" t="s">
        <v>140</v>
      </c>
      <c r="E174" s="135">
        <f>SUM(E175)</f>
        <v>324000</v>
      </c>
      <c r="F174" s="127">
        <f>SUM(F175)</f>
        <v>211428.38</v>
      </c>
      <c r="G174" s="135">
        <f>SUM(G175)</f>
        <v>324000</v>
      </c>
      <c r="H174" s="135">
        <f>SUM(H175)</f>
        <v>0</v>
      </c>
      <c r="I174" s="34"/>
      <c r="J174" s="5"/>
      <c r="K174" s="5"/>
    </row>
    <row r="175" spans="1:11" ht="30" customHeight="1" thickBot="1">
      <c r="A175" s="371"/>
      <c r="B175" s="49" t="s">
        <v>139</v>
      </c>
      <c r="C175" s="109"/>
      <c r="D175" s="51" t="s">
        <v>138</v>
      </c>
      <c r="E175" s="52">
        <f>SUM(E176:E181)</f>
        <v>324000</v>
      </c>
      <c r="F175" s="127">
        <f>SUM(F176:F181)</f>
        <v>211428.38</v>
      </c>
      <c r="G175" s="52">
        <f>SUM(G176:G181)</f>
        <v>324000</v>
      </c>
      <c r="H175" s="52">
        <f>SUM(H176:H181)</f>
        <v>0</v>
      </c>
      <c r="I175" s="34"/>
      <c r="J175" s="5"/>
      <c r="K175" s="5"/>
    </row>
    <row r="176" spans="1:11" ht="15" customHeight="1">
      <c r="A176" s="372"/>
      <c r="B176" s="334"/>
      <c r="C176" s="136" t="s">
        <v>137</v>
      </c>
      <c r="D176" s="137" t="s">
        <v>136</v>
      </c>
      <c r="E176" s="138">
        <f>255000</f>
        <v>255000</v>
      </c>
      <c r="F176" s="86">
        <v>159411.94</v>
      </c>
      <c r="G176" s="138">
        <f>255000</f>
        <v>255000</v>
      </c>
      <c r="H176" s="138"/>
      <c r="I176" s="34">
        <f>E176</f>
        <v>255000</v>
      </c>
      <c r="J176" s="5"/>
      <c r="K176" s="5"/>
    </row>
    <row r="177" spans="1:11" ht="15" customHeight="1">
      <c r="A177" s="372"/>
      <c r="B177" s="335"/>
      <c r="C177" s="139" t="s">
        <v>4</v>
      </c>
      <c r="D177" s="140" t="s">
        <v>135</v>
      </c>
      <c r="E177" s="141">
        <v>2900</v>
      </c>
      <c r="F177" s="118">
        <v>2650.39</v>
      </c>
      <c r="G177" s="141">
        <v>2900</v>
      </c>
      <c r="H177" s="141"/>
      <c r="I177" s="34">
        <f>G177</f>
        <v>2900</v>
      </c>
      <c r="J177" s="5"/>
      <c r="K177" s="5"/>
    </row>
    <row r="178" spans="1:11" ht="15" customHeight="1">
      <c r="A178" s="372"/>
      <c r="B178" s="335"/>
      <c r="C178" s="136" t="s">
        <v>85</v>
      </c>
      <c r="D178" s="137" t="s">
        <v>84</v>
      </c>
      <c r="E178" s="138">
        <v>500</v>
      </c>
      <c r="F178" s="86">
        <v>427.48</v>
      </c>
      <c r="G178" s="138">
        <v>500</v>
      </c>
      <c r="H178" s="138"/>
      <c r="I178" s="34">
        <f>G178</f>
        <v>500</v>
      </c>
      <c r="J178" s="5"/>
      <c r="K178" s="5"/>
    </row>
    <row r="179" spans="1:11" ht="15" customHeight="1">
      <c r="A179" s="372"/>
      <c r="B179" s="335"/>
      <c r="C179" s="139" t="s">
        <v>83</v>
      </c>
      <c r="D179" s="140" t="s">
        <v>82</v>
      </c>
      <c r="E179" s="141">
        <f>18500</f>
        <v>18500</v>
      </c>
      <c r="F179" s="118">
        <v>17448</v>
      </c>
      <c r="G179" s="141">
        <f>18500</f>
        <v>18500</v>
      </c>
      <c r="H179" s="141"/>
      <c r="I179" s="34">
        <f>G179</f>
        <v>18500</v>
      </c>
      <c r="J179" s="5"/>
      <c r="K179" s="5"/>
    </row>
    <row r="180" spans="1:11" ht="15" customHeight="1">
      <c r="A180" s="372"/>
      <c r="B180" s="335"/>
      <c r="C180" s="136" t="s">
        <v>2</v>
      </c>
      <c r="D180" s="137" t="s">
        <v>26</v>
      </c>
      <c r="E180" s="138">
        <f>40100</f>
        <v>40100</v>
      </c>
      <c r="F180" s="86">
        <v>28014.55</v>
      </c>
      <c r="G180" s="138">
        <f>40100</f>
        <v>40100</v>
      </c>
      <c r="H180" s="138"/>
      <c r="I180" s="34"/>
      <c r="J180" s="5"/>
      <c r="K180" s="5"/>
    </row>
    <row r="181" spans="1:11" ht="15" customHeight="1" thickBot="1">
      <c r="A181" s="372"/>
      <c r="B181" s="335"/>
      <c r="C181" s="142" t="s">
        <v>30</v>
      </c>
      <c r="D181" s="143" t="s">
        <v>29</v>
      </c>
      <c r="E181" s="144">
        <v>7000</v>
      </c>
      <c r="F181" s="122">
        <v>3476.02</v>
      </c>
      <c r="G181" s="144">
        <v>7000</v>
      </c>
      <c r="H181" s="144"/>
      <c r="I181" s="34"/>
      <c r="J181" s="5"/>
      <c r="K181" s="5"/>
    </row>
    <row r="182" spans="1:11" ht="15" customHeight="1" thickBot="1">
      <c r="A182" s="132" t="s">
        <v>134</v>
      </c>
      <c r="B182" s="168"/>
      <c r="C182" s="156"/>
      <c r="D182" s="150" t="s">
        <v>133</v>
      </c>
      <c r="E182" s="135">
        <f>SUM(E183)</f>
        <v>740000</v>
      </c>
      <c r="F182" s="127">
        <f>SUM(F183)</f>
        <v>278965.15000000002</v>
      </c>
      <c r="G182" s="135">
        <f>SUM(G183)</f>
        <v>740000</v>
      </c>
      <c r="H182" s="135">
        <f>SUM(H183)</f>
        <v>0</v>
      </c>
      <c r="I182" s="34"/>
      <c r="J182" s="5"/>
      <c r="K182" s="5"/>
    </row>
    <row r="183" spans="1:11" ht="30" customHeight="1" thickBot="1">
      <c r="A183" s="371"/>
      <c r="B183" s="49" t="s">
        <v>132</v>
      </c>
      <c r="C183" s="109"/>
      <c r="D183" s="51" t="s">
        <v>131</v>
      </c>
      <c r="E183" s="52">
        <f>SUM(E184:E184)</f>
        <v>740000</v>
      </c>
      <c r="F183" s="169">
        <f>SUM(F184:F184)</f>
        <v>278965.15000000002</v>
      </c>
      <c r="G183" s="52">
        <f>SUM(G184:G184)</f>
        <v>740000</v>
      </c>
      <c r="H183" s="52">
        <f>SUM(H184:H184)</f>
        <v>0</v>
      </c>
      <c r="I183" s="34"/>
      <c r="J183" s="5"/>
      <c r="K183" s="5"/>
    </row>
    <row r="184" spans="1:11" ht="30" customHeight="1" thickBot="1">
      <c r="A184" s="373"/>
      <c r="B184" s="318"/>
      <c r="C184" s="159" t="s">
        <v>130</v>
      </c>
      <c r="D184" s="160" t="s">
        <v>389</v>
      </c>
      <c r="E184" s="161">
        <v>740000</v>
      </c>
      <c r="F184" s="122">
        <v>278965.15000000002</v>
      </c>
      <c r="G184" s="161">
        <v>740000</v>
      </c>
      <c r="H184" s="161"/>
      <c r="I184" s="34"/>
      <c r="J184" s="5"/>
      <c r="K184" s="5"/>
    </row>
    <row r="185" spans="1:11" ht="15" customHeight="1" thickBot="1">
      <c r="A185" s="132" t="s">
        <v>129</v>
      </c>
      <c r="B185" s="168"/>
      <c r="C185" s="156"/>
      <c r="D185" s="150" t="s">
        <v>128</v>
      </c>
      <c r="E185" s="135">
        <f>SUM(E186+E188)</f>
        <v>1797974</v>
      </c>
      <c r="F185" s="127">
        <f>SUM(F186+F188)</f>
        <v>665402</v>
      </c>
      <c r="G185" s="135">
        <f>SUM(G186+G188)</f>
        <v>1797974</v>
      </c>
      <c r="H185" s="135">
        <f>SUM(H186+H188)</f>
        <v>0</v>
      </c>
      <c r="I185" s="34"/>
      <c r="J185" s="5"/>
      <c r="K185" s="5"/>
    </row>
    <row r="186" spans="1:11" ht="15" customHeight="1" thickBot="1">
      <c r="A186" s="371"/>
      <c r="B186" s="49" t="s">
        <v>127</v>
      </c>
      <c r="C186" s="109"/>
      <c r="D186" s="51" t="s">
        <v>126</v>
      </c>
      <c r="E186" s="52">
        <f>SUM(E187)</f>
        <v>866000</v>
      </c>
      <c r="F186" s="127">
        <f>SUM(F187)</f>
        <v>0</v>
      </c>
      <c r="G186" s="52">
        <f>SUM(G187)</f>
        <v>866000</v>
      </c>
      <c r="H186" s="52">
        <f>SUM(H187)</f>
        <v>0</v>
      </c>
      <c r="I186" s="34"/>
      <c r="J186" s="5"/>
      <c r="K186" s="5"/>
    </row>
    <row r="187" spans="1:11" ht="15" customHeight="1" thickBot="1">
      <c r="A187" s="372"/>
      <c r="B187" s="316"/>
      <c r="C187" s="159" t="s">
        <v>125</v>
      </c>
      <c r="D187" s="160" t="s">
        <v>124</v>
      </c>
      <c r="E187" s="161">
        <f>G187</f>
        <v>866000</v>
      </c>
      <c r="F187" s="86"/>
      <c r="G187" s="161">
        <v>866000</v>
      </c>
      <c r="H187" s="161"/>
      <c r="I187" s="34"/>
      <c r="J187" s="5"/>
      <c r="K187" s="5"/>
    </row>
    <row r="188" spans="1:11" ht="15" customHeight="1" thickBot="1">
      <c r="A188" s="372"/>
      <c r="B188" s="49" t="s">
        <v>123</v>
      </c>
      <c r="C188" s="109"/>
      <c r="D188" s="51" t="s">
        <v>122</v>
      </c>
      <c r="E188" s="52">
        <f>SUM(E189)</f>
        <v>931974</v>
      </c>
      <c r="F188" s="145">
        <f>SUM(F189)</f>
        <v>665402</v>
      </c>
      <c r="G188" s="52">
        <f>SUM(G189)</f>
        <v>931974</v>
      </c>
      <c r="H188" s="52">
        <f>SUM(H189)</f>
        <v>0</v>
      </c>
      <c r="I188" s="34"/>
      <c r="J188" s="5"/>
      <c r="K188" s="5"/>
    </row>
    <row r="189" spans="1:11" ht="15" customHeight="1" thickBot="1">
      <c r="A189" s="372"/>
      <c r="B189" s="317"/>
      <c r="C189" s="159" t="s">
        <v>121</v>
      </c>
      <c r="D189" s="160" t="s">
        <v>120</v>
      </c>
      <c r="E189" s="161">
        <v>931974</v>
      </c>
      <c r="F189" s="86">
        <v>665402</v>
      </c>
      <c r="G189" s="161">
        <v>931974</v>
      </c>
      <c r="H189" s="161"/>
      <c r="I189" s="34"/>
      <c r="J189" s="5"/>
      <c r="K189" s="5"/>
    </row>
    <row r="190" spans="1:11" ht="15.75" customHeight="1" thickBot="1">
      <c r="A190" s="132" t="s">
        <v>119</v>
      </c>
      <c r="B190" s="168"/>
      <c r="C190" s="156"/>
      <c r="D190" s="150" t="s">
        <v>118</v>
      </c>
      <c r="E190" s="170">
        <f>SUM(E191+E220+E234+E261+E284+E293+E295+E316+E328+E331+E297)</f>
        <v>39482113</v>
      </c>
      <c r="F190" s="171" t="e">
        <f>SUM(F191+F220+F234+F261+F284+F293+F295+F316+F328+F331+F297)</f>
        <v>#REF!</v>
      </c>
      <c r="G190" s="170">
        <f>SUM(G191+G220+G234+G261+G284+G293+G295+G316+G328+G331+G297)</f>
        <v>37745644</v>
      </c>
      <c r="H190" s="170">
        <f>SUM(H191+H220+H234+H261+H284+H293+H295+H316+H328+H331+H297)</f>
        <v>1736469</v>
      </c>
      <c r="I190" s="34"/>
      <c r="J190" s="5"/>
      <c r="K190" s="5"/>
    </row>
    <row r="191" spans="1:11" ht="15.75" customHeight="1" thickBot="1">
      <c r="A191" s="374"/>
      <c r="B191" s="49" t="s">
        <v>117</v>
      </c>
      <c r="C191" s="109"/>
      <c r="D191" s="51" t="s">
        <v>116</v>
      </c>
      <c r="E191" s="52">
        <f>SUM(E192+E193+E194+E195+E196+E197+E198+E199+E200+E201+E202+E203+E204+E205+E206+E207+E208+E209+E210+E211+E215+E217+E219)</f>
        <v>17177823</v>
      </c>
      <c r="F191" s="127" t="e">
        <f>SUM(F192+F193+F194+F195+F196+F197+F198+F199+F200+F201+F202+F203+F204+F205+F206+F207+F208+F209+F210+#REF!+#REF!+F211+F219)</f>
        <v>#REF!</v>
      </c>
      <c r="G191" s="52">
        <f>SUM(G192+G193+G194+G195+G196+G197+G198+G199+G200+G201+G202+G203+G204+G205+G206+G207+G208+G209+G210+G211+G215+G217+G219)</f>
        <v>15782444</v>
      </c>
      <c r="H191" s="52">
        <f>SUM(H192+H193+H194+H195+H196+H197+H198+H199+H200+H201+H202+H203+H204+H205+H206+H207+H208+H209+H210+H211+H215+H217+H219)</f>
        <v>1395379</v>
      </c>
      <c r="I191" s="34"/>
      <c r="J191" s="5"/>
      <c r="K191" s="5"/>
    </row>
    <row r="192" spans="1:11" ht="15.75" customHeight="1">
      <c r="A192" s="375"/>
      <c r="B192" s="342"/>
      <c r="C192" s="139" t="s">
        <v>92</v>
      </c>
      <c r="D192" s="137" t="s">
        <v>91</v>
      </c>
      <c r="E192" s="172">
        <v>486306</v>
      </c>
      <c r="F192" s="86">
        <v>305122.25</v>
      </c>
      <c r="G192" s="172">
        <v>486306</v>
      </c>
      <c r="H192" s="172"/>
      <c r="I192" s="34"/>
      <c r="J192" s="5"/>
      <c r="K192" s="5"/>
    </row>
    <row r="193" spans="1:11" ht="15" customHeight="1">
      <c r="A193" s="375"/>
      <c r="B193" s="343"/>
      <c r="C193" s="139" t="s">
        <v>90</v>
      </c>
      <c r="D193" s="140" t="s">
        <v>89</v>
      </c>
      <c r="E193" s="173">
        <f>10375650-212000</f>
        <v>10163650</v>
      </c>
      <c r="F193" s="118">
        <v>6594245.2699999996</v>
      </c>
      <c r="G193" s="173">
        <f>E193</f>
        <v>10163650</v>
      </c>
      <c r="H193" s="173"/>
      <c r="I193" s="34">
        <f>G193</f>
        <v>10163650</v>
      </c>
      <c r="J193" s="5"/>
      <c r="K193" s="5"/>
    </row>
    <row r="194" spans="1:11" ht="15" customHeight="1">
      <c r="A194" s="375"/>
      <c r="B194" s="343"/>
      <c r="C194" s="139" t="s">
        <v>88</v>
      </c>
      <c r="D194" s="140" t="s">
        <v>87</v>
      </c>
      <c r="E194" s="173">
        <v>777045</v>
      </c>
      <c r="F194" s="118">
        <v>705936.44</v>
      </c>
      <c r="G194" s="173">
        <v>777045</v>
      </c>
      <c r="H194" s="173"/>
      <c r="I194" s="34">
        <f>G194</f>
        <v>777045</v>
      </c>
      <c r="J194" s="5"/>
      <c r="K194" s="5"/>
    </row>
    <row r="195" spans="1:11" ht="15" customHeight="1">
      <c r="A195" s="375"/>
      <c r="B195" s="343"/>
      <c r="C195" s="139" t="s">
        <v>4</v>
      </c>
      <c r="D195" s="140" t="s">
        <v>135</v>
      </c>
      <c r="E195" s="173">
        <f>1744336-47000</f>
        <v>1697336</v>
      </c>
      <c r="F195" s="118">
        <v>1061123.82</v>
      </c>
      <c r="G195" s="173">
        <f>E195</f>
        <v>1697336</v>
      </c>
      <c r="H195" s="173"/>
      <c r="I195" s="34">
        <f>G195</f>
        <v>1697336</v>
      </c>
      <c r="J195" s="5"/>
      <c r="K195" s="5"/>
    </row>
    <row r="196" spans="1:11" ht="15" customHeight="1">
      <c r="A196" s="375"/>
      <c r="B196" s="343"/>
      <c r="C196" s="136" t="s">
        <v>85</v>
      </c>
      <c r="D196" s="137" t="s">
        <v>84</v>
      </c>
      <c r="E196" s="172">
        <f>272983-13000</f>
        <v>259983</v>
      </c>
      <c r="F196" s="86">
        <v>150018.46</v>
      </c>
      <c r="G196" s="172">
        <f>E196</f>
        <v>259983</v>
      </c>
      <c r="H196" s="172"/>
      <c r="I196" s="34">
        <f>G196</f>
        <v>259983</v>
      </c>
      <c r="J196" s="5"/>
      <c r="K196" s="5"/>
    </row>
    <row r="197" spans="1:11" ht="15" customHeight="1">
      <c r="A197" s="375"/>
      <c r="B197" s="343"/>
      <c r="C197" s="136" t="s">
        <v>83</v>
      </c>
      <c r="D197" s="137" t="s">
        <v>95</v>
      </c>
      <c r="E197" s="173">
        <v>26620</v>
      </c>
      <c r="F197" s="86">
        <v>9129.5</v>
      </c>
      <c r="G197" s="173">
        <v>26620</v>
      </c>
      <c r="H197" s="173"/>
      <c r="I197" s="34">
        <f>G197</f>
        <v>26620</v>
      </c>
      <c r="J197" s="5"/>
      <c r="K197" s="5"/>
    </row>
    <row r="198" spans="1:11" ht="15" customHeight="1">
      <c r="A198" s="375"/>
      <c r="B198" s="343"/>
      <c r="C198" s="139" t="s">
        <v>30</v>
      </c>
      <c r="D198" s="140" t="s">
        <v>29</v>
      </c>
      <c r="E198" s="173">
        <f>404500-30000</f>
        <v>374500</v>
      </c>
      <c r="F198" s="118">
        <v>324936.81</v>
      </c>
      <c r="G198" s="173">
        <f>E198</f>
        <v>374500</v>
      </c>
      <c r="H198" s="173"/>
      <c r="I198" s="34"/>
      <c r="J198" s="5"/>
      <c r="K198" s="5"/>
    </row>
    <row r="199" spans="1:11" ht="15" customHeight="1">
      <c r="A199" s="375"/>
      <c r="B199" s="343"/>
      <c r="C199" s="139" t="s">
        <v>244</v>
      </c>
      <c r="D199" s="140" t="s">
        <v>245</v>
      </c>
      <c r="E199" s="173">
        <v>50128</v>
      </c>
      <c r="F199" s="118">
        <v>48918.17</v>
      </c>
      <c r="G199" s="173">
        <v>50128</v>
      </c>
      <c r="H199" s="173"/>
      <c r="I199" s="34"/>
      <c r="J199" s="5"/>
      <c r="K199" s="5"/>
    </row>
    <row r="200" spans="1:11" ht="15" customHeight="1">
      <c r="A200" s="375"/>
      <c r="B200" s="343"/>
      <c r="C200" s="139" t="s">
        <v>28</v>
      </c>
      <c r="D200" s="140" t="s">
        <v>27</v>
      </c>
      <c r="E200" s="173">
        <v>543646</v>
      </c>
      <c r="F200" s="118">
        <v>330687.25</v>
      </c>
      <c r="G200" s="173">
        <v>543646</v>
      </c>
      <c r="H200" s="173"/>
      <c r="I200" s="34"/>
      <c r="J200" s="5"/>
      <c r="K200" s="5"/>
    </row>
    <row r="201" spans="1:11" ht="15" customHeight="1">
      <c r="A201" s="375"/>
      <c r="B201" s="343"/>
      <c r="C201" s="139" t="s">
        <v>36</v>
      </c>
      <c r="D201" s="140" t="s">
        <v>81</v>
      </c>
      <c r="E201" s="173">
        <f>285100-50000</f>
        <v>235100</v>
      </c>
      <c r="F201" s="118">
        <v>255600.43</v>
      </c>
      <c r="G201" s="173">
        <f>E201</f>
        <v>235100</v>
      </c>
      <c r="H201" s="173"/>
      <c r="I201" s="34"/>
      <c r="J201" s="5"/>
      <c r="K201" s="5"/>
    </row>
    <row r="202" spans="1:11" ht="15" customHeight="1">
      <c r="A202" s="375"/>
      <c r="B202" s="343"/>
      <c r="C202" s="139" t="s">
        <v>80</v>
      </c>
      <c r="D202" s="140" t="s">
        <v>79</v>
      </c>
      <c r="E202" s="173">
        <v>6670</v>
      </c>
      <c r="F202" s="118">
        <v>2940</v>
      </c>
      <c r="G202" s="173">
        <v>6670</v>
      </c>
      <c r="H202" s="173"/>
      <c r="I202" s="34"/>
      <c r="J202" s="5"/>
      <c r="K202" s="5"/>
    </row>
    <row r="203" spans="1:11" ht="15" customHeight="1">
      <c r="A203" s="375"/>
      <c r="B203" s="343"/>
      <c r="C203" s="139" t="s">
        <v>2</v>
      </c>
      <c r="D203" s="140" t="s">
        <v>26</v>
      </c>
      <c r="E203" s="173">
        <v>346165</v>
      </c>
      <c r="F203" s="118">
        <v>225163.76</v>
      </c>
      <c r="G203" s="173">
        <v>346165</v>
      </c>
      <c r="H203" s="173"/>
      <c r="I203" s="34"/>
      <c r="J203" s="5"/>
      <c r="K203" s="5"/>
    </row>
    <row r="204" spans="1:11" ht="15" customHeight="1">
      <c r="A204" s="375"/>
      <c r="B204" s="343"/>
      <c r="C204" s="139" t="s">
        <v>78</v>
      </c>
      <c r="D204" s="140" t="s">
        <v>77</v>
      </c>
      <c r="E204" s="173">
        <v>19852</v>
      </c>
      <c r="F204" s="118">
        <v>14202.1</v>
      </c>
      <c r="G204" s="173">
        <v>19852</v>
      </c>
      <c r="H204" s="173"/>
      <c r="I204" s="34"/>
      <c r="J204" s="5"/>
      <c r="K204" s="5"/>
    </row>
    <row r="205" spans="1:11" ht="30" customHeight="1">
      <c r="A205" s="375"/>
      <c r="B205" s="343"/>
      <c r="C205" s="136" t="s">
        <v>146</v>
      </c>
      <c r="D205" s="140" t="s">
        <v>323</v>
      </c>
      <c r="E205" s="172">
        <v>16800</v>
      </c>
      <c r="F205" s="86">
        <v>11179.01</v>
      </c>
      <c r="G205" s="172">
        <v>16800</v>
      </c>
      <c r="H205" s="172"/>
      <c r="I205" s="34"/>
      <c r="J205" s="5"/>
      <c r="K205" s="5"/>
    </row>
    <row r="206" spans="1:11" ht="30" customHeight="1">
      <c r="A206" s="375"/>
      <c r="B206" s="343"/>
      <c r="C206" s="139" t="s">
        <v>76</v>
      </c>
      <c r="D206" s="140" t="s">
        <v>324</v>
      </c>
      <c r="E206" s="173">
        <v>18058</v>
      </c>
      <c r="F206" s="118">
        <v>10375.209999999999</v>
      </c>
      <c r="G206" s="173">
        <v>18058</v>
      </c>
      <c r="H206" s="173"/>
      <c r="I206" s="34"/>
      <c r="J206" s="5"/>
      <c r="K206" s="5"/>
    </row>
    <row r="207" spans="1:11" ht="15" customHeight="1">
      <c r="A207" s="375"/>
      <c r="B207" s="343"/>
      <c r="C207" s="139" t="s">
        <v>75</v>
      </c>
      <c r="D207" s="140" t="s">
        <v>74</v>
      </c>
      <c r="E207" s="173">
        <v>8250</v>
      </c>
      <c r="F207" s="118">
        <v>5030.37</v>
      </c>
      <c r="G207" s="173">
        <v>8250</v>
      </c>
      <c r="H207" s="173"/>
      <c r="I207" s="34"/>
      <c r="J207" s="5"/>
      <c r="K207" s="5"/>
    </row>
    <row r="208" spans="1:11" ht="15" customHeight="1">
      <c r="A208" s="375"/>
      <c r="B208" s="343"/>
      <c r="C208" s="139" t="s">
        <v>25</v>
      </c>
      <c r="D208" s="140" t="s">
        <v>193</v>
      </c>
      <c r="E208" s="173">
        <v>12035</v>
      </c>
      <c r="F208" s="118">
        <v>1889</v>
      </c>
      <c r="G208" s="173">
        <v>12035</v>
      </c>
      <c r="H208" s="173"/>
      <c r="I208" s="34"/>
      <c r="J208" s="5"/>
      <c r="K208" s="5"/>
    </row>
    <row r="209" spans="1:11" ht="15" customHeight="1">
      <c r="A209" s="375"/>
      <c r="B209" s="343"/>
      <c r="C209" s="142" t="s">
        <v>73</v>
      </c>
      <c r="D209" s="140" t="s">
        <v>72</v>
      </c>
      <c r="E209" s="173">
        <v>737300</v>
      </c>
      <c r="F209" s="118">
        <v>704012</v>
      </c>
      <c r="G209" s="173">
        <v>737300</v>
      </c>
      <c r="H209" s="173"/>
      <c r="I209" s="34"/>
      <c r="J209" s="5"/>
      <c r="K209" s="5"/>
    </row>
    <row r="210" spans="1:11" ht="15" customHeight="1">
      <c r="A210" s="375"/>
      <c r="B210" s="343"/>
      <c r="C210" s="142" t="s">
        <v>71</v>
      </c>
      <c r="D210" s="143" t="s">
        <v>70</v>
      </c>
      <c r="E210" s="173">
        <v>3000</v>
      </c>
      <c r="F210" s="118">
        <v>700</v>
      </c>
      <c r="G210" s="173">
        <v>3000</v>
      </c>
      <c r="H210" s="173"/>
      <c r="I210" s="34"/>
      <c r="J210" s="5"/>
      <c r="K210" s="5"/>
    </row>
    <row r="211" spans="1:11" ht="15" customHeight="1">
      <c r="A211" s="375"/>
      <c r="B211" s="343"/>
      <c r="C211" s="116" t="s">
        <v>34</v>
      </c>
      <c r="D211" s="65" t="s">
        <v>115</v>
      </c>
      <c r="E211" s="174">
        <f>SUM(E212:E214)</f>
        <v>1138000</v>
      </c>
      <c r="F211" s="118">
        <f>SUM(F212:F218)</f>
        <v>524460.21</v>
      </c>
      <c r="G211" s="174"/>
      <c r="H211" s="174">
        <f>SUM(H212:H214)</f>
        <v>1138000</v>
      </c>
      <c r="I211" s="34"/>
      <c r="J211" s="5"/>
      <c r="K211" s="5"/>
    </row>
    <row r="212" spans="1:11" ht="30" customHeight="1">
      <c r="A212" s="375"/>
      <c r="B212" s="343"/>
      <c r="C212" s="368"/>
      <c r="D212" s="96" t="s">
        <v>353</v>
      </c>
      <c r="E212" s="175">
        <v>64000</v>
      </c>
      <c r="F212" s="176">
        <v>461140.21</v>
      </c>
      <c r="G212" s="175"/>
      <c r="H212" s="175">
        <v>64000</v>
      </c>
      <c r="I212" s="34"/>
      <c r="J212" s="5"/>
      <c r="K212" s="5"/>
    </row>
    <row r="213" spans="1:11" ht="30" customHeight="1">
      <c r="A213" s="375"/>
      <c r="B213" s="343"/>
      <c r="C213" s="369"/>
      <c r="D213" s="96" t="s">
        <v>342</v>
      </c>
      <c r="E213" s="177">
        <v>64000</v>
      </c>
      <c r="F213" s="178"/>
      <c r="G213" s="177"/>
      <c r="H213" s="177">
        <v>64000</v>
      </c>
      <c r="I213" s="34"/>
      <c r="J213" s="5"/>
      <c r="K213" s="5"/>
    </row>
    <row r="214" spans="1:11" ht="15" customHeight="1">
      <c r="A214" s="375"/>
      <c r="B214" s="343"/>
      <c r="C214" s="370"/>
      <c r="D214" s="179" t="s">
        <v>343</v>
      </c>
      <c r="E214" s="97">
        <v>1010000</v>
      </c>
      <c r="F214" s="176">
        <v>7320</v>
      </c>
      <c r="G214" s="97"/>
      <c r="H214" s="97">
        <v>1010000</v>
      </c>
      <c r="I214" s="34"/>
      <c r="J214" s="5"/>
      <c r="K214" s="5"/>
    </row>
    <row r="215" spans="1:11" ht="15" customHeight="1">
      <c r="A215" s="375"/>
      <c r="B215" s="343"/>
      <c r="C215" s="180" t="s">
        <v>307</v>
      </c>
      <c r="D215" s="65" t="s">
        <v>378</v>
      </c>
      <c r="E215" s="117">
        <f>E216</f>
        <v>177479</v>
      </c>
      <c r="F215" s="181"/>
      <c r="G215" s="117"/>
      <c r="H215" s="117">
        <f>H216</f>
        <v>177479</v>
      </c>
      <c r="I215" s="34"/>
      <c r="J215" s="5"/>
      <c r="K215" s="5"/>
    </row>
    <row r="216" spans="1:11" ht="15" customHeight="1">
      <c r="A216" s="375"/>
      <c r="B216" s="343"/>
      <c r="C216" s="182"/>
      <c r="D216" s="96" t="s">
        <v>379</v>
      </c>
      <c r="E216" s="97">
        <f>177479</f>
        <v>177479</v>
      </c>
      <c r="F216" s="176">
        <v>28000</v>
      </c>
      <c r="G216" s="97"/>
      <c r="H216" s="97">
        <f>E216</f>
        <v>177479</v>
      </c>
      <c r="I216" s="34"/>
      <c r="J216" s="5"/>
      <c r="K216" s="5"/>
    </row>
    <row r="217" spans="1:11" ht="15" customHeight="1">
      <c r="A217" s="375"/>
      <c r="B217" s="343"/>
      <c r="C217" s="180" t="s">
        <v>282</v>
      </c>
      <c r="D217" s="65" t="s">
        <v>378</v>
      </c>
      <c r="E217" s="117">
        <f>E218</f>
        <v>60000</v>
      </c>
      <c r="F217" s="181"/>
      <c r="G217" s="117"/>
      <c r="H217" s="117">
        <f>H218</f>
        <v>60000</v>
      </c>
      <c r="I217" s="34"/>
      <c r="J217" s="5"/>
      <c r="K217" s="5"/>
    </row>
    <row r="218" spans="1:11" ht="15" customHeight="1">
      <c r="A218" s="375"/>
      <c r="B218" s="343"/>
      <c r="C218" s="182"/>
      <c r="D218" s="96" t="s">
        <v>379</v>
      </c>
      <c r="E218" s="97">
        <v>60000</v>
      </c>
      <c r="F218" s="176">
        <v>28000</v>
      </c>
      <c r="G218" s="97"/>
      <c r="H218" s="97">
        <v>60000</v>
      </c>
      <c r="I218" s="34"/>
      <c r="J218" s="5"/>
      <c r="K218" s="5"/>
    </row>
    <row r="219" spans="1:11" ht="15" customHeight="1" thickBot="1">
      <c r="A219" s="375"/>
      <c r="B219" s="377"/>
      <c r="C219" s="154" t="s">
        <v>69</v>
      </c>
      <c r="D219" s="143" t="s">
        <v>145</v>
      </c>
      <c r="E219" s="183">
        <v>19900</v>
      </c>
      <c r="F219" s="118">
        <v>68344.160000000003</v>
      </c>
      <c r="G219" s="183"/>
      <c r="H219" s="183">
        <v>19900</v>
      </c>
      <c r="I219" s="34"/>
      <c r="J219" s="5"/>
      <c r="K219" s="5"/>
    </row>
    <row r="220" spans="1:11" ht="15" customHeight="1" thickBot="1">
      <c r="A220" s="375"/>
      <c r="B220" s="325" t="s">
        <v>246</v>
      </c>
      <c r="C220" s="109"/>
      <c r="D220" s="51" t="s">
        <v>369</v>
      </c>
      <c r="E220" s="184">
        <f>SUM(E221:E233)</f>
        <v>1347784</v>
      </c>
      <c r="F220" s="185">
        <f>SUM(F221:F233)</f>
        <v>922806.8</v>
      </c>
      <c r="G220" s="184">
        <f>SUM(G221:G233)</f>
        <v>1347784</v>
      </c>
      <c r="H220" s="186">
        <v>0</v>
      </c>
      <c r="I220" s="34"/>
      <c r="J220" s="5"/>
      <c r="K220" s="5"/>
    </row>
    <row r="221" spans="1:11" ht="15" customHeight="1">
      <c r="A221" s="375"/>
      <c r="B221" s="335"/>
      <c r="C221" s="136" t="s">
        <v>92</v>
      </c>
      <c r="D221" s="137" t="s">
        <v>91</v>
      </c>
      <c r="E221" s="172">
        <v>87512</v>
      </c>
      <c r="F221" s="118">
        <v>54683.65</v>
      </c>
      <c r="G221" s="172">
        <v>87512</v>
      </c>
      <c r="H221" s="172"/>
      <c r="I221" s="34"/>
      <c r="J221" s="5"/>
      <c r="K221" s="5"/>
    </row>
    <row r="222" spans="1:11" ht="15" customHeight="1">
      <c r="A222" s="375"/>
      <c r="B222" s="335"/>
      <c r="C222" s="139" t="s">
        <v>90</v>
      </c>
      <c r="D222" s="140" t="s">
        <v>89</v>
      </c>
      <c r="E222" s="173">
        <f>915751-30000</f>
        <v>885751</v>
      </c>
      <c r="F222" s="118">
        <v>597244.34</v>
      </c>
      <c r="G222" s="173">
        <f>E222</f>
        <v>885751</v>
      </c>
      <c r="H222" s="173"/>
      <c r="I222" s="34">
        <f>G222</f>
        <v>885751</v>
      </c>
      <c r="J222" s="5"/>
      <c r="K222" s="5"/>
    </row>
    <row r="223" spans="1:11" ht="15" customHeight="1">
      <c r="A223" s="375"/>
      <c r="B223" s="335"/>
      <c r="C223" s="136" t="s">
        <v>88</v>
      </c>
      <c r="D223" s="137" t="s">
        <v>87</v>
      </c>
      <c r="E223" s="172">
        <v>73310</v>
      </c>
      <c r="F223" s="86">
        <v>63283.31</v>
      </c>
      <c r="G223" s="172">
        <v>73310</v>
      </c>
      <c r="H223" s="172"/>
      <c r="I223" s="34">
        <f>G223</f>
        <v>73310</v>
      </c>
      <c r="J223" s="5"/>
      <c r="K223" s="5"/>
    </row>
    <row r="224" spans="1:11" ht="15" customHeight="1">
      <c r="A224" s="375"/>
      <c r="B224" s="335"/>
      <c r="C224" s="139" t="s">
        <v>4</v>
      </c>
      <c r="D224" s="140" t="s">
        <v>135</v>
      </c>
      <c r="E224" s="173">
        <v>169797</v>
      </c>
      <c r="F224" s="118">
        <v>99089.88</v>
      </c>
      <c r="G224" s="173">
        <v>169797</v>
      </c>
      <c r="H224" s="173"/>
      <c r="I224" s="34">
        <f>G224</f>
        <v>169797</v>
      </c>
      <c r="J224" s="5"/>
      <c r="K224" s="5"/>
    </row>
    <row r="225" spans="1:11" ht="15" customHeight="1">
      <c r="A225" s="375"/>
      <c r="B225" s="335"/>
      <c r="C225" s="136" t="s">
        <v>85</v>
      </c>
      <c r="D225" s="137" t="s">
        <v>84</v>
      </c>
      <c r="E225" s="173">
        <v>26363</v>
      </c>
      <c r="F225" s="118">
        <v>15936.38</v>
      </c>
      <c r="G225" s="173">
        <v>26363</v>
      </c>
      <c r="H225" s="173"/>
      <c r="I225" s="34">
        <f>G225</f>
        <v>26363</v>
      </c>
      <c r="J225" s="5"/>
      <c r="K225" s="5"/>
    </row>
    <row r="226" spans="1:11" ht="15" customHeight="1">
      <c r="A226" s="375"/>
      <c r="B226" s="335"/>
      <c r="C226" s="139" t="s">
        <v>30</v>
      </c>
      <c r="D226" s="140" t="s">
        <v>29</v>
      </c>
      <c r="E226" s="173">
        <v>17815</v>
      </c>
      <c r="F226" s="118">
        <v>21315.98</v>
      </c>
      <c r="G226" s="173">
        <v>17815</v>
      </c>
      <c r="H226" s="173"/>
      <c r="I226" s="34"/>
      <c r="J226" s="5"/>
      <c r="K226" s="5"/>
    </row>
    <row r="227" spans="1:11" ht="15" customHeight="1">
      <c r="A227" s="375"/>
      <c r="B227" s="335"/>
      <c r="C227" s="139" t="s">
        <v>244</v>
      </c>
      <c r="D227" s="140" t="s">
        <v>245</v>
      </c>
      <c r="E227" s="173">
        <v>7743</v>
      </c>
      <c r="F227" s="118">
        <v>2106.6</v>
      </c>
      <c r="G227" s="173">
        <v>7743</v>
      </c>
      <c r="H227" s="173"/>
      <c r="I227" s="34"/>
      <c r="J227" s="5"/>
      <c r="K227" s="5"/>
    </row>
    <row r="228" spans="1:11" ht="15" customHeight="1">
      <c r="A228" s="375"/>
      <c r="B228" s="335"/>
      <c r="C228" s="139" t="s">
        <v>28</v>
      </c>
      <c r="D228" s="140" t="s">
        <v>27</v>
      </c>
      <c r="E228" s="173">
        <v>18575</v>
      </c>
      <c r="F228" s="118">
        <v>14622.3</v>
      </c>
      <c r="G228" s="173">
        <v>18575</v>
      </c>
      <c r="H228" s="173"/>
      <c r="I228" s="34"/>
      <c r="J228" s="5"/>
      <c r="K228" s="5"/>
    </row>
    <row r="229" spans="1:11" ht="15" customHeight="1">
      <c r="A229" s="375"/>
      <c r="B229" s="335"/>
      <c r="C229" s="136" t="s">
        <v>36</v>
      </c>
      <c r="D229" s="137" t="s">
        <v>81</v>
      </c>
      <c r="E229" s="172">
        <v>2731</v>
      </c>
      <c r="F229" s="86">
        <v>106</v>
      </c>
      <c r="G229" s="172">
        <v>2731</v>
      </c>
      <c r="H229" s="172"/>
      <c r="I229" s="34"/>
      <c r="J229" s="5"/>
      <c r="K229" s="5"/>
    </row>
    <row r="230" spans="1:11" ht="14.25" customHeight="1">
      <c r="A230" s="375"/>
      <c r="B230" s="335"/>
      <c r="C230" s="139" t="s">
        <v>80</v>
      </c>
      <c r="D230" s="140" t="s">
        <v>79</v>
      </c>
      <c r="E230" s="173">
        <v>705</v>
      </c>
      <c r="F230" s="118">
        <v>270</v>
      </c>
      <c r="G230" s="173">
        <v>705</v>
      </c>
      <c r="H230" s="173"/>
      <c r="I230" s="34"/>
      <c r="J230" s="5"/>
      <c r="K230" s="5"/>
    </row>
    <row r="231" spans="1:11" ht="14.25" customHeight="1">
      <c r="A231" s="375"/>
      <c r="B231" s="335"/>
      <c r="C231" s="139" t="s">
        <v>2</v>
      </c>
      <c r="D231" s="140" t="s">
        <v>26</v>
      </c>
      <c r="E231" s="173">
        <v>3163</v>
      </c>
      <c r="F231" s="118">
        <v>2225.36</v>
      </c>
      <c r="G231" s="173">
        <v>3163</v>
      </c>
      <c r="H231" s="173"/>
      <c r="I231" s="34"/>
      <c r="J231" s="5"/>
      <c r="K231" s="5"/>
    </row>
    <row r="232" spans="1:11" ht="14.25" customHeight="1">
      <c r="A232" s="375"/>
      <c r="B232" s="335"/>
      <c r="C232" s="139" t="s">
        <v>75</v>
      </c>
      <c r="D232" s="140" t="s">
        <v>74</v>
      </c>
      <c r="E232" s="173">
        <v>500</v>
      </c>
      <c r="F232" s="118">
        <v>55</v>
      </c>
      <c r="G232" s="173">
        <v>500</v>
      </c>
      <c r="H232" s="173"/>
      <c r="I232" s="34"/>
      <c r="J232" s="5"/>
      <c r="K232" s="5"/>
    </row>
    <row r="233" spans="1:11" ht="14.25" customHeight="1" thickBot="1">
      <c r="A233" s="375"/>
      <c r="B233" s="336"/>
      <c r="C233" s="187" t="s">
        <v>73</v>
      </c>
      <c r="D233" s="188" t="s">
        <v>72</v>
      </c>
      <c r="E233" s="189">
        <v>53819</v>
      </c>
      <c r="F233" s="122">
        <v>51868</v>
      </c>
      <c r="G233" s="189">
        <v>53819</v>
      </c>
      <c r="H233" s="189"/>
      <c r="I233" s="34"/>
      <c r="J233" s="5"/>
      <c r="K233" s="5"/>
    </row>
    <row r="234" spans="1:11" ht="14.25" customHeight="1" thickBot="1">
      <c r="A234" s="375"/>
      <c r="B234" s="325" t="s">
        <v>114</v>
      </c>
      <c r="C234" s="151"/>
      <c r="D234" s="152" t="s">
        <v>113</v>
      </c>
      <c r="E234" s="153">
        <f>SUM(E235:E257,E260)</f>
        <v>8179897</v>
      </c>
      <c r="F234" s="127" t="e">
        <f>SUM(F256+F257+#REF!)</f>
        <v>#REF!</v>
      </c>
      <c r="G234" s="153">
        <f>SUM(G235:G257,G260)</f>
        <v>7844807</v>
      </c>
      <c r="H234" s="153">
        <f>SUM(H235:H257,H260)</f>
        <v>335090</v>
      </c>
      <c r="I234" s="34"/>
      <c r="J234" s="5"/>
      <c r="K234" s="5"/>
    </row>
    <row r="235" spans="1:11" ht="14.25" customHeight="1">
      <c r="A235" s="375"/>
      <c r="B235" s="342"/>
      <c r="C235" s="190" t="s">
        <v>110</v>
      </c>
      <c r="D235" s="137" t="s">
        <v>109</v>
      </c>
      <c r="E235" s="56">
        <v>103092</v>
      </c>
      <c r="F235" s="191"/>
      <c r="G235" s="56">
        <v>103092</v>
      </c>
      <c r="H235" s="56"/>
      <c r="I235" s="34"/>
      <c r="J235" s="5"/>
      <c r="K235" s="5"/>
    </row>
    <row r="236" spans="1:11" ht="14.25" customHeight="1">
      <c r="A236" s="375"/>
      <c r="B236" s="343"/>
      <c r="C236" s="164" t="s">
        <v>92</v>
      </c>
      <c r="D236" s="140" t="s">
        <v>91</v>
      </c>
      <c r="E236" s="117">
        <v>69204</v>
      </c>
      <c r="F236" s="191"/>
      <c r="G236" s="117">
        <v>69204</v>
      </c>
      <c r="H236" s="117"/>
      <c r="I236" s="34"/>
      <c r="J236" s="5"/>
      <c r="K236" s="5"/>
    </row>
    <row r="237" spans="1:11" ht="14.25" customHeight="1">
      <c r="A237" s="375"/>
      <c r="B237" s="343"/>
      <c r="C237" s="192" t="s">
        <v>90</v>
      </c>
      <c r="D237" s="140" t="s">
        <v>89</v>
      </c>
      <c r="E237" s="117">
        <f>G237</f>
        <v>4564400</v>
      </c>
      <c r="F237" s="191"/>
      <c r="G237" s="117">
        <f>4614400-50000</f>
        <v>4564400</v>
      </c>
      <c r="H237" s="117"/>
      <c r="I237" s="34">
        <f>G237</f>
        <v>4564400</v>
      </c>
      <c r="J237" s="5"/>
      <c r="K237" s="5"/>
    </row>
    <row r="238" spans="1:11" ht="14.25" customHeight="1">
      <c r="A238" s="375"/>
      <c r="B238" s="343"/>
      <c r="C238" s="164" t="s">
        <v>88</v>
      </c>
      <c r="D238" s="140" t="s">
        <v>87</v>
      </c>
      <c r="E238" s="117">
        <f>G238</f>
        <v>377000</v>
      </c>
      <c r="F238" s="191"/>
      <c r="G238" s="117">
        <f>387000-10000</f>
        <v>377000</v>
      </c>
      <c r="H238" s="117"/>
      <c r="I238" s="34">
        <f>G238</f>
        <v>377000</v>
      </c>
      <c r="J238" s="5"/>
      <c r="K238" s="5"/>
    </row>
    <row r="239" spans="1:11" ht="14.25" customHeight="1">
      <c r="A239" s="375"/>
      <c r="B239" s="343"/>
      <c r="C239" s="164" t="s">
        <v>4</v>
      </c>
      <c r="D239" s="140" t="s">
        <v>135</v>
      </c>
      <c r="E239" s="117">
        <f>G239</f>
        <v>751500</v>
      </c>
      <c r="F239" s="191"/>
      <c r="G239" s="117">
        <f>761500-10000</f>
        <v>751500</v>
      </c>
      <c r="H239" s="117"/>
      <c r="I239" s="34">
        <f>G239</f>
        <v>751500</v>
      </c>
      <c r="J239" s="5"/>
      <c r="K239" s="5"/>
    </row>
    <row r="240" spans="1:11" ht="14.25" customHeight="1">
      <c r="A240" s="375"/>
      <c r="B240" s="343"/>
      <c r="C240" s="192" t="s">
        <v>85</v>
      </c>
      <c r="D240" s="140" t="s">
        <v>84</v>
      </c>
      <c r="E240" s="117">
        <v>139000</v>
      </c>
      <c r="F240" s="191"/>
      <c r="G240" s="117">
        <v>139000</v>
      </c>
      <c r="H240" s="117"/>
      <c r="I240" s="34">
        <f>G240</f>
        <v>139000</v>
      </c>
      <c r="J240" s="5"/>
      <c r="K240" s="5"/>
    </row>
    <row r="241" spans="1:11" ht="14.25" customHeight="1">
      <c r="A241" s="375"/>
      <c r="B241" s="343"/>
      <c r="C241" s="192" t="s">
        <v>175</v>
      </c>
      <c r="D241" s="137" t="s">
        <v>174</v>
      </c>
      <c r="E241" s="117">
        <v>24500</v>
      </c>
      <c r="F241" s="191"/>
      <c r="G241" s="117">
        <v>24500</v>
      </c>
      <c r="H241" s="117"/>
      <c r="I241" s="34"/>
      <c r="J241" s="5"/>
      <c r="K241" s="5"/>
    </row>
    <row r="242" spans="1:11" ht="15.75" customHeight="1">
      <c r="A242" s="375"/>
      <c r="B242" s="343"/>
      <c r="C242" s="192" t="s">
        <v>83</v>
      </c>
      <c r="D242" s="137" t="s">
        <v>95</v>
      </c>
      <c r="E242" s="117">
        <v>49000</v>
      </c>
      <c r="F242" s="191"/>
      <c r="G242" s="117">
        <v>49000</v>
      </c>
      <c r="H242" s="117"/>
      <c r="I242" s="34">
        <f>G242</f>
        <v>49000</v>
      </c>
      <c r="J242" s="5"/>
      <c r="K242" s="5"/>
    </row>
    <row r="243" spans="1:11" ht="15.75" customHeight="1">
      <c r="A243" s="375"/>
      <c r="B243" s="343"/>
      <c r="C243" s="164" t="s">
        <v>30</v>
      </c>
      <c r="D243" s="137" t="s">
        <v>29</v>
      </c>
      <c r="E243" s="117">
        <f>G243</f>
        <v>220000</v>
      </c>
      <c r="F243" s="191"/>
      <c r="G243" s="117">
        <f>230000-10000</f>
        <v>220000</v>
      </c>
      <c r="H243" s="117"/>
      <c r="I243" s="34"/>
      <c r="J243" s="5"/>
      <c r="K243" s="5"/>
    </row>
    <row r="244" spans="1:11" ht="15" customHeight="1">
      <c r="A244" s="375"/>
      <c r="B244" s="343"/>
      <c r="C244" s="164" t="s">
        <v>148</v>
      </c>
      <c r="D244" s="137" t="s">
        <v>354</v>
      </c>
      <c r="E244" s="117">
        <f>G244</f>
        <v>576605</v>
      </c>
      <c r="F244" s="191"/>
      <c r="G244" s="117">
        <f>606605-30000</f>
        <v>576605</v>
      </c>
      <c r="H244" s="117"/>
      <c r="I244" s="34"/>
      <c r="J244" s="5"/>
      <c r="K244" s="5"/>
    </row>
    <row r="245" spans="1:11" ht="15" customHeight="1">
      <c r="A245" s="375"/>
      <c r="B245" s="343"/>
      <c r="C245" s="164" t="s">
        <v>244</v>
      </c>
      <c r="D245" s="140" t="s">
        <v>245</v>
      </c>
      <c r="E245" s="68">
        <v>55200</v>
      </c>
      <c r="F245" s="193"/>
      <c r="G245" s="68">
        <v>55200</v>
      </c>
      <c r="H245" s="68"/>
      <c r="I245" s="34"/>
      <c r="J245" s="5"/>
      <c r="K245" s="5"/>
    </row>
    <row r="246" spans="1:11" ht="15" customHeight="1">
      <c r="A246" s="375"/>
      <c r="B246" s="343"/>
      <c r="C246" s="164" t="s">
        <v>28</v>
      </c>
      <c r="D246" s="140" t="s">
        <v>27</v>
      </c>
      <c r="E246" s="68">
        <v>358500</v>
      </c>
      <c r="F246" s="193"/>
      <c r="G246" s="68">
        <v>358500</v>
      </c>
      <c r="H246" s="68"/>
      <c r="I246" s="34"/>
      <c r="J246" s="5"/>
      <c r="K246" s="5"/>
    </row>
    <row r="247" spans="1:11" ht="15" customHeight="1">
      <c r="A247" s="375"/>
      <c r="B247" s="343"/>
      <c r="C247" s="192" t="s">
        <v>36</v>
      </c>
      <c r="D247" s="137" t="s">
        <v>81</v>
      </c>
      <c r="E247" s="68">
        <f>164000-24000</f>
        <v>140000</v>
      </c>
      <c r="F247" s="193"/>
      <c r="G247" s="68">
        <f>E247</f>
        <v>140000</v>
      </c>
      <c r="H247" s="68"/>
      <c r="I247" s="34"/>
      <c r="J247" s="5"/>
      <c r="K247" s="5"/>
    </row>
    <row r="248" spans="1:11" ht="15" customHeight="1">
      <c r="A248" s="375"/>
      <c r="B248" s="343"/>
      <c r="C248" s="164" t="s">
        <v>80</v>
      </c>
      <c r="D248" s="140" t="s">
        <v>79</v>
      </c>
      <c r="E248" s="68">
        <v>9210</v>
      </c>
      <c r="F248" s="193"/>
      <c r="G248" s="68">
        <v>9210</v>
      </c>
      <c r="H248" s="68"/>
      <c r="I248" s="34"/>
      <c r="J248" s="5"/>
      <c r="K248" s="5"/>
    </row>
    <row r="249" spans="1:11" ht="15" customHeight="1">
      <c r="A249" s="375"/>
      <c r="B249" s="343"/>
      <c r="C249" s="164" t="s">
        <v>2</v>
      </c>
      <c r="D249" s="140" t="s">
        <v>26</v>
      </c>
      <c r="E249" s="68">
        <f>95150-10000</f>
        <v>85150</v>
      </c>
      <c r="F249" s="193"/>
      <c r="G249" s="68">
        <f>E249</f>
        <v>85150</v>
      </c>
      <c r="H249" s="68"/>
      <c r="I249" s="34"/>
      <c r="J249" s="5"/>
      <c r="K249" s="5"/>
    </row>
    <row r="250" spans="1:11" ht="15.75" customHeight="1">
      <c r="A250" s="375"/>
      <c r="B250" s="343"/>
      <c r="C250" s="164" t="s">
        <v>78</v>
      </c>
      <c r="D250" s="140" t="s">
        <v>77</v>
      </c>
      <c r="E250" s="68">
        <v>4234</v>
      </c>
      <c r="F250" s="193"/>
      <c r="G250" s="68">
        <v>4234</v>
      </c>
      <c r="H250" s="68"/>
      <c r="I250" s="34"/>
      <c r="J250" s="5"/>
      <c r="K250" s="5"/>
    </row>
    <row r="251" spans="1:11" ht="30" customHeight="1">
      <c r="A251" s="375"/>
      <c r="B251" s="343"/>
      <c r="C251" s="192" t="s">
        <v>146</v>
      </c>
      <c r="D251" s="140" t="s">
        <v>323</v>
      </c>
      <c r="E251" s="68">
        <v>8400</v>
      </c>
      <c r="F251" s="193"/>
      <c r="G251" s="68">
        <v>8400</v>
      </c>
      <c r="H251" s="68"/>
      <c r="I251" s="34"/>
      <c r="J251" s="5"/>
      <c r="K251" s="5"/>
    </row>
    <row r="252" spans="1:11" ht="30" customHeight="1">
      <c r="A252" s="375"/>
      <c r="B252" s="343"/>
      <c r="C252" s="164" t="s">
        <v>76</v>
      </c>
      <c r="D252" s="140" t="s">
        <v>324</v>
      </c>
      <c r="E252" s="68">
        <v>19440</v>
      </c>
      <c r="F252" s="193"/>
      <c r="G252" s="68">
        <v>19440</v>
      </c>
      <c r="H252" s="68"/>
      <c r="I252" s="34"/>
      <c r="J252" s="5"/>
      <c r="K252" s="5"/>
    </row>
    <row r="253" spans="1:11" ht="15" customHeight="1">
      <c r="A253" s="375"/>
      <c r="B253" s="343"/>
      <c r="C253" s="164" t="s">
        <v>75</v>
      </c>
      <c r="D253" s="140" t="s">
        <v>74</v>
      </c>
      <c r="E253" s="68">
        <v>3450</v>
      </c>
      <c r="F253" s="193"/>
      <c r="G253" s="68">
        <v>3450</v>
      </c>
      <c r="H253" s="68"/>
      <c r="I253" s="34"/>
      <c r="J253" s="5"/>
      <c r="K253" s="5"/>
    </row>
    <row r="254" spans="1:11" ht="15" customHeight="1">
      <c r="A254" s="375"/>
      <c r="B254" s="343"/>
      <c r="C254" s="154" t="s">
        <v>25</v>
      </c>
      <c r="D254" s="143" t="s">
        <v>193</v>
      </c>
      <c r="E254" s="68">
        <v>2660</v>
      </c>
      <c r="F254" s="193"/>
      <c r="G254" s="68">
        <v>2660</v>
      </c>
      <c r="H254" s="68"/>
      <c r="I254" s="34"/>
      <c r="J254" s="5"/>
      <c r="K254" s="5"/>
    </row>
    <row r="255" spans="1:11" ht="15" customHeight="1">
      <c r="A255" s="375"/>
      <c r="B255" s="343"/>
      <c r="C255" s="154" t="s">
        <v>73</v>
      </c>
      <c r="D255" s="143" t="s">
        <v>72</v>
      </c>
      <c r="E255" s="117">
        <v>273162</v>
      </c>
      <c r="F255" s="191"/>
      <c r="G255" s="117">
        <v>273162</v>
      </c>
      <c r="H255" s="117"/>
      <c r="I255" s="34"/>
      <c r="J255" s="5"/>
      <c r="K255" s="5"/>
    </row>
    <row r="256" spans="1:11" ht="15" customHeight="1">
      <c r="A256" s="375"/>
      <c r="B256" s="343"/>
      <c r="C256" s="164" t="s">
        <v>71</v>
      </c>
      <c r="D256" s="140" t="s">
        <v>70</v>
      </c>
      <c r="E256" s="85">
        <v>11100</v>
      </c>
      <c r="F256" s="86">
        <v>4466500</v>
      </c>
      <c r="G256" s="85">
        <v>11100</v>
      </c>
      <c r="H256" s="85"/>
      <c r="I256" s="34"/>
      <c r="J256" s="5"/>
      <c r="K256" s="5"/>
    </row>
    <row r="257" spans="1:12" ht="15" customHeight="1">
      <c r="A257" s="375"/>
      <c r="B257" s="343"/>
      <c r="C257" s="321" t="s">
        <v>34</v>
      </c>
      <c r="D257" s="62" t="s">
        <v>14</v>
      </c>
      <c r="E257" s="85">
        <f>SUM(E258:E259)</f>
        <v>290000</v>
      </c>
      <c r="F257" s="86">
        <f>SUM(F258:F259)</f>
        <v>160820</v>
      </c>
      <c r="G257" s="85"/>
      <c r="H257" s="85">
        <f>SUM(H258:H259)</f>
        <v>290000</v>
      </c>
      <c r="I257" s="34"/>
      <c r="J257" s="5"/>
      <c r="K257" s="5"/>
    </row>
    <row r="258" spans="1:12" ht="30" customHeight="1">
      <c r="A258" s="375"/>
      <c r="B258" s="343"/>
      <c r="C258" s="368"/>
      <c r="D258" s="96" t="s">
        <v>344</v>
      </c>
      <c r="E258" s="97">
        <v>250000</v>
      </c>
      <c r="F258" s="176">
        <v>31500</v>
      </c>
      <c r="G258" s="97"/>
      <c r="H258" s="97">
        <v>250000</v>
      </c>
      <c r="I258" s="34"/>
      <c r="J258" s="5"/>
      <c r="K258" s="5"/>
    </row>
    <row r="259" spans="1:12" ht="15" customHeight="1">
      <c r="A259" s="375"/>
      <c r="B259" s="343"/>
      <c r="C259" s="370"/>
      <c r="D259" s="96" t="s">
        <v>345</v>
      </c>
      <c r="E259" s="97">
        <v>40000</v>
      </c>
      <c r="F259" s="176">
        <v>129320</v>
      </c>
      <c r="G259" s="97"/>
      <c r="H259" s="97">
        <v>40000</v>
      </c>
      <c r="I259" s="34"/>
      <c r="J259" s="5"/>
      <c r="K259" s="5"/>
    </row>
    <row r="260" spans="1:12" ht="15" customHeight="1" thickBot="1">
      <c r="A260" s="375"/>
      <c r="B260" s="344"/>
      <c r="C260" s="164" t="s">
        <v>69</v>
      </c>
      <c r="D260" s="140" t="s">
        <v>145</v>
      </c>
      <c r="E260" s="99">
        <v>45090</v>
      </c>
      <c r="F260" s="105"/>
      <c r="G260" s="99"/>
      <c r="H260" s="99">
        <v>45090</v>
      </c>
      <c r="I260" s="34"/>
      <c r="J260" s="5"/>
      <c r="K260" s="5"/>
    </row>
    <row r="261" spans="1:12" ht="15" customHeight="1" thickBot="1">
      <c r="A261" s="375"/>
      <c r="B261" s="49" t="s">
        <v>112</v>
      </c>
      <c r="C261" s="109"/>
      <c r="D261" s="51" t="s">
        <v>111</v>
      </c>
      <c r="E261" s="194">
        <f>SUM(E262+E263+E264+E265+E266+E267+E268+E269+E270+E271+E272+E273+E274+E275+E276+E277+E278+E279+E280+E281+E282+E283)</f>
        <v>8514120</v>
      </c>
      <c r="F261" s="195">
        <f>SUM(F262:F283)</f>
        <v>5805404.3999999976</v>
      </c>
      <c r="G261" s="194">
        <f>SUM(G262+G263+G264+G265+G266+G267+G268+G269+G270+G271+G272+G273+G274+G275+G276+G277+G278+G279+G280+G281+G282+G283)</f>
        <v>8508120</v>
      </c>
      <c r="H261" s="194">
        <f>SUM(H262+H263+H264+H265+H266+H267+H268+H269+H270+H271+H272+H273+H274+H275+H276+H277+H278+H279+H280+H281+H282+H283)</f>
        <v>6000</v>
      </c>
      <c r="I261" s="34"/>
      <c r="J261" s="5"/>
      <c r="K261" s="5"/>
    </row>
    <row r="262" spans="1:12" ht="15" customHeight="1">
      <c r="A262" s="375"/>
      <c r="B262" s="342"/>
      <c r="C262" s="136" t="s">
        <v>110</v>
      </c>
      <c r="D262" s="137" t="s">
        <v>109</v>
      </c>
      <c r="E262" s="196">
        <v>237132</v>
      </c>
      <c r="F262" s="86">
        <v>165483.5</v>
      </c>
      <c r="G262" s="196">
        <v>237132</v>
      </c>
      <c r="H262" s="196"/>
      <c r="I262" s="34"/>
      <c r="J262" s="5"/>
      <c r="K262" s="5"/>
    </row>
    <row r="263" spans="1:12" ht="15" customHeight="1">
      <c r="A263" s="375"/>
      <c r="B263" s="343"/>
      <c r="C263" s="136" t="s">
        <v>92</v>
      </c>
      <c r="D263" s="137" t="s">
        <v>91</v>
      </c>
      <c r="E263" s="197">
        <v>117569</v>
      </c>
      <c r="F263" s="86">
        <v>69388.039999999994</v>
      </c>
      <c r="G263" s="197">
        <v>117569</v>
      </c>
      <c r="H263" s="197"/>
      <c r="I263" s="34"/>
      <c r="J263" s="5"/>
      <c r="K263" s="5"/>
    </row>
    <row r="264" spans="1:12" ht="15" customHeight="1">
      <c r="A264" s="375"/>
      <c r="B264" s="343"/>
      <c r="C264" s="136" t="s">
        <v>90</v>
      </c>
      <c r="D264" s="137" t="s">
        <v>89</v>
      </c>
      <c r="E264" s="198">
        <f>5550352-148000</f>
        <v>5402352</v>
      </c>
      <c r="F264" s="118">
        <v>3594517.48</v>
      </c>
      <c r="G264" s="198">
        <f>5550352-148000</f>
        <v>5402352</v>
      </c>
      <c r="H264" s="198"/>
      <c r="I264" s="34">
        <f>G264</f>
        <v>5402352</v>
      </c>
      <c r="J264" s="18"/>
      <c r="K264" s="5"/>
    </row>
    <row r="265" spans="1:12" ht="15" customHeight="1">
      <c r="A265" s="375"/>
      <c r="B265" s="343"/>
      <c r="C265" s="136" t="s">
        <v>88</v>
      </c>
      <c r="D265" s="137" t="s">
        <v>87</v>
      </c>
      <c r="E265" s="198">
        <v>404398</v>
      </c>
      <c r="F265" s="118">
        <v>377709.52</v>
      </c>
      <c r="G265" s="198">
        <v>404398</v>
      </c>
      <c r="H265" s="198"/>
      <c r="I265" s="34">
        <f>G265</f>
        <v>404398</v>
      </c>
      <c r="J265" s="18"/>
      <c r="K265" s="5"/>
    </row>
    <row r="266" spans="1:12" ht="15" customHeight="1">
      <c r="A266" s="375"/>
      <c r="B266" s="343"/>
      <c r="C266" s="136" t="s">
        <v>4</v>
      </c>
      <c r="D266" s="137" t="s">
        <v>135</v>
      </c>
      <c r="E266" s="198">
        <f>907766-45000</f>
        <v>862766</v>
      </c>
      <c r="F266" s="118">
        <v>550091.14</v>
      </c>
      <c r="G266" s="198">
        <f>907766-45000</f>
        <v>862766</v>
      </c>
      <c r="H266" s="198"/>
      <c r="I266" s="34">
        <f>G266</f>
        <v>862766</v>
      </c>
      <c r="J266" s="18"/>
      <c r="K266" s="5"/>
    </row>
    <row r="267" spans="1:12" ht="15" customHeight="1">
      <c r="A267" s="375"/>
      <c r="B267" s="343"/>
      <c r="C267" s="139" t="s">
        <v>85</v>
      </c>
      <c r="D267" s="140" t="s">
        <v>84</v>
      </c>
      <c r="E267" s="198">
        <v>143485</v>
      </c>
      <c r="F267" s="118">
        <v>77659.05</v>
      </c>
      <c r="G267" s="198">
        <v>143485</v>
      </c>
      <c r="H267" s="198"/>
      <c r="I267" s="34">
        <f>G267</f>
        <v>143485</v>
      </c>
      <c r="J267" s="18"/>
      <c r="K267" s="18"/>
      <c r="L267" s="18"/>
    </row>
    <row r="268" spans="1:12" ht="15" customHeight="1">
      <c r="A268" s="375"/>
      <c r="B268" s="343"/>
      <c r="C268" s="136" t="s">
        <v>175</v>
      </c>
      <c r="D268" s="137" t="s">
        <v>174</v>
      </c>
      <c r="E268" s="198">
        <v>10100</v>
      </c>
      <c r="F268" s="118">
        <v>6273</v>
      </c>
      <c r="G268" s="198">
        <v>10100</v>
      </c>
      <c r="H268" s="198"/>
      <c r="I268" s="34"/>
      <c r="J268" s="18"/>
      <c r="K268" s="18"/>
      <c r="L268" s="18"/>
    </row>
    <row r="269" spans="1:12" ht="15" customHeight="1">
      <c r="A269" s="375"/>
      <c r="B269" s="343"/>
      <c r="C269" s="136" t="s">
        <v>83</v>
      </c>
      <c r="D269" s="137" t="s">
        <v>82</v>
      </c>
      <c r="E269" s="198">
        <v>13500</v>
      </c>
      <c r="F269" s="118">
        <v>7899.5</v>
      </c>
      <c r="G269" s="198">
        <v>13500</v>
      </c>
      <c r="H269" s="198"/>
      <c r="I269" s="34">
        <f>G269</f>
        <v>13500</v>
      </c>
      <c r="J269" s="18"/>
      <c r="K269" s="18"/>
      <c r="L269" s="18"/>
    </row>
    <row r="270" spans="1:12" ht="15" customHeight="1">
      <c r="A270" s="375"/>
      <c r="B270" s="343"/>
      <c r="C270" s="139" t="s">
        <v>30</v>
      </c>
      <c r="D270" s="140" t="s">
        <v>29</v>
      </c>
      <c r="E270" s="198">
        <f>204660-2313-20000</f>
        <v>182347</v>
      </c>
      <c r="F270" s="118">
        <v>107103.84</v>
      </c>
      <c r="G270" s="198">
        <f>E270</f>
        <v>182347</v>
      </c>
      <c r="H270" s="198"/>
      <c r="I270" s="34"/>
      <c r="J270" s="18"/>
      <c r="K270" s="18"/>
      <c r="L270" s="18"/>
    </row>
    <row r="271" spans="1:12" ht="15" customHeight="1">
      <c r="A271" s="375"/>
      <c r="B271" s="343"/>
      <c r="C271" s="139" t="s">
        <v>244</v>
      </c>
      <c r="D271" s="140" t="s">
        <v>245</v>
      </c>
      <c r="E271" s="198">
        <v>7870</v>
      </c>
      <c r="F271" s="118">
        <v>6528.51</v>
      </c>
      <c r="G271" s="198">
        <v>7870</v>
      </c>
      <c r="H271" s="198"/>
      <c r="I271" s="34"/>
      <c r="J271" s="5"/>
      <c r="K271" s="18"/>
      <c r="L271" s="18"/>
    </row>
    <row r="272" spans="1:12" ht="15" customHeight="1">
      <c r="A272" s="375"/>
      <c r="B272" s="343"/>
      <c r="C272" s="136" t="s">
        <v>28</v>
      </c>
      <c r="D272" s="137" t="s">
        <v>27</v>
      </c>
      <c r="E272" s="197">
        <v>405025</v>
      </c>
      <c r="F272" s="86">
        <v>260663.16</v>
      </c>
      <c r="G272" s="197">
        <v>405025</v>
      </c>
      <c r="H272" s="197"/>
      <c r="I272" s="34"/>
      <c r="J272" s="5"/>
      <c r="K272" s="18"/>
      <c r="L272" s="18"/>
    </row>
    <row r="273" spans="1:12" ht="15" customHeight="1">
      <c r="A273" s="375"/>
      <c r="B273" s="343"/>
      <c r="C273" s="139" t="s">
        <v>36</v>
      </c>
      <c r="D273" s="137" t="s">
        <v>81</v>
      </c>
      <c r="E273" s="198">
        <f>G273</f>
        <v>138000</v>
      </c>
      <c r="F273" s="118">
        <v>83581.119999999995</v>
      </c>
      <c r="G273" s="198">
        <f>188000-50000</f>
        <v>138000</v>
      </c>
      <c r="H273" s="198"/>
      <c r="I273" s="34"/>
      <c r="J273" s="5"/>
      <c r="K273" s="18"/>
      <c r="L273" s="18"/>
    </row>
    <row r="274" spans="1:12" ht="15" customHeight="1">
      <c r="A274" s="375"/>
      <c r="B274" s="343"/>
      <c r="C274" s="139" t="s">
        <v>80</v>
      </c>
      <c r="D274" s="137" t="s">
        <v>79</v>
      </c>
      <c r="E274" s="198">
        <v>3700</v>
      </c>
      <c r="F274" s="118">
        <v>2215</v>
      </c>
      <c r="G274" s="198">
        <v>3700</v>
      </c>
      <c r="H274" s="198"/>
      <c r="I274" s="34"/>
      <c r="J274" s="5"/>
      <c r="K274" s="5"/>
    </row>
    <row r="275" spans="1:12" ht="15" customHeight="1">
      <c r="A275" s="375"/>
      <c r="B275" s="343"/>
      <c r="C275" s="136" t="s">
        <v>2</v>
      </c>
      <c r="D275" s="137" t="s">
        <v>26</v>
      </c>
      <c r="E275" s="197">
        <f>163125-2000</f>
        <v>161125</v>
      </c>
      <c r="F275" s="86">
        <v>97058.1</v>
      </c>
      <c r="G275" s="197">
        <f>E275</f>
        <v>161125</v>
      </c>
      <c r="H275" s="197"/>
      <c r="I275" s="34"/>
      <c r="J275" s="5"/>
      <c r="K275" s="5"/>
    </row>
    <row r="276" spans="1:12" ht="15" customHeight="1">
      <c r="A276" s="375"/>
      <c r="B276" s="343"/>
      <c r="C276" s="139" t="s">
        <v>78</v>
      </c>
      <c r="D276" s="140" t="s">
        <v>77</v>
      </c>
      <c r="E276" s="198">
        <v>6760</v>
      </c>
      <c r="F276" s="118">
        <v>4269.5600000000004</v>
      </c>
      <c r="G276" s="198">
        <v>6760</v>
      </c>
      <c r="H276" s="198"/>
      <c r="I276" s="34"/>
      <c r="J276" s="5"/>
      <c r="K276" s="5"/>
    </row>
    <row r="277" spans="1:12" ht="30" customHeight="1">
      <c r="A277" s="375"/>
      <c r="B277" s="343"/>
      <c r="C277" s="139" t="s">
        <v>146</v>
      </c>
      <c r="D277" s="140" t="s">
        <v>323</v>
      </c>
      <c r="E277" s="198">
        <v>4200</v>
      </c>
      <c r="F277" s="118">
        <v>3026.27</v>
      </c>
      <c r="G277" s="198">
        <v>4200</v>
      </c>
      <c r="H277" s="198"/>
      <c r="I277" s="34"/>
      <c r="J277" s="5"/>
      <c r="K277" s="5"/>
    </row>
    <row r="278" spans="1:12" ht="30" customHeight="1">
      <c r="A278" s="375"/>
      <c r="B278" s="343"/>
      <c r="C278" s="139" t="s">
        <v>76</v>
      </c>
      <c r="D278" s="140" t="s">
        <v>324</v>
      </c>
      <c r="E278" s="198">
        <v>7480</v>
      </c>
      <c r="F278" s="118">
        <v>4646.3500000000004</v>
      </c>
      <c r="G278" s="198">
        <v>7480</v>
      </c>
      <c r="H278" s="198"/>
      <c r="I278" s="34"/>
      <c r="J278" s="5"/>
      <c r="K278" s="5"/>
    </row>
    <row r="279" spans="1:12" ht="15" customHeight="1">
      <c r="A279" s="375"/>
      <c r="B279" s="343"/>
      <c r="C279" s="139" t="s">
        <v>75</v>
      </c>
      <c r="D279" s="140" t="s">
        <v>74</v>
      </c>
      <c r="E279" s="198">
        <v>4515</v>
      </c>
      <c r="F279" s="118">
        <v>2473.09</v>
      </c>
      <c r="G279" s="198">
        <v>4515</v>
      </c>
      <c r="H279" s="198"/>
      <c r="I279" s="34"/>
      <c r="J279" s="5"/>
      <c r="K279" s="5"/>
    </row>
    <row r="280" spans="1:12" ht="15" customHeight="1">
      <c r="A280" s="375"/>
      <c r="B280" s="343"/>
      <c r="C280" s="136" t="s">
        <v>25</v>
      </c>
      <c r="D280" s="137" t="s">
        <v>24</v>
      </c>
      <c r="E280" s="198">
        <v>7500</v>
      </c>
      <c r="F280" s="118">
        <v>1097</v>
      </c>
      <c r="G280" s="198">
        <v>7500</v>
      </c>
      <c r="H280" s="198"/>
      <c r="I280" s="34"/>
      <c r="J280" s="5"/>
      <c r="K280" s="5"/>
    </row>
    <row r="281" spans="1:12" ht="15" customHeight="1">
      <c r="A281" s="375"/>
      <c r="B281" s="343"/>
      <c r="C281" s="136" t="s">
        <v>73</v>
      </c>
      <c r="D281" s="137" t="s">
        <v>72</v>
      </c>
      <c r="E281" s="197">
        <v>387296</v>
      </c>
      <c r="F281" s="86">
        <v>370340</v>
      </c>
      <c r="G281" s="197">
        <v>387296</v>
      </c>
      <c r="H281" s="197"/>
      <c r="I281" s="34"/>
      <c r="J281" s="5"/>
      <c r="K281" s="5"/>
    </row>
    <row r="282" spans="1:12" ht="15" customHeight="1">
      <c r="A282" s="375"/>
      <c r="B282" s="343"/>
      <c r="C282" s="164" t="s">
        <v>71</v>
      </c>
      <c r="D282" s="140" t="s">
        <v>70</v>
      </c>
      <c r="E282" s="198">
        <v>1000</v>
      </c>
      <c r="F282" s="86"/>
      <c r="G282" s="198">
        <v>1000</v>
      </c>
      <c r="H282" s="198"/>
      <c r="I282" s="34"/>
      <c r="J282" s="5"/>
      <c r="K282" s="5"/>
    </row>
    <row r="283" spans="1:12" ht="15" customHeight="1" thickBot="1">
      <c r="A283" s="375"/>
      <c r="B283" s="344"/>
      <c r="C283" s="142" t="s">
        <v>69</v>
      </c>
      <c r="D283" s="143" t="s">
        <v>68</v>
      </c>
      <c r="E283" s="183">
        <v>6000</v>
      </c>
      <c r="F283" s="118">
        <v>13381.17</v>
      </c>
      <c r="G283" s="183"/>
      <c r="H283" s="183">
        <v>6000</v>
      </c>
      <c r="I283" s="34"/>
      <c r="J283" s="5"/>
      <c r="K283" s="5"/>
    </row>
    <row r="284" spans="1:12" ht="15" customHeight="1" thickBot="1">
      <c r="A284" s="375"/>
      <c r="B284" s="49" t="s">
        <v>247</v>
      </c>
      <c r="C284" s="109"/>
      <c r="D284" s="51" t="s">
        <v>382</v>
      </c>
      <c r="E284" s="184">
        <f>SUM(E285:E292)</f>
        <v>768340</v>
      </c>
      <c r="F284" s="185">
        <f>SUM(F285:F292)</f>
        <v>480243.36</v>
      </c>
      <c r="G284" s="184">
        <f>SUM(G285:G292)</f>
        <v>768340</v>
      </c>
      <c r="H284" s="194">
        <f>SUM(H285:H285)</f>
        <v>0</v>
      </c>
      <c r="I284" s="34"/>
      <c r="J284" s="5"/>
      <c r="K284" s="5"/>
    </row>
    <row r="285" spans="1:12" ht="15" customHeight="1">
      <c r="A285" s="375"/>
      <c r="B285" s="342"/>
      <c r="C285" s="136" t="s">
        <v>92</v>
      </c>
      <c r="D285" s="147" t="s">
        <v>91</v>
      </c>
      <c r="E285" s="199">
        <v>150</v>
      </c>
      <c r="F285" s="200"/>
      <c r="G285" s="199">
        <v>150</v>
      </c>
      <c r="H285" s="199"/>
      <c r="I285" s="34"/>
      <c r="J285" s="5"/>
      <c r="K285" s="5"/>
    </row>
    <row r="286" spans="1:12" ht="15" customHeight="1">
      <c r="A286" s="375"/>
      <c r="B286" s="343"/>
      <c r="C286" s="139" t="s">
        <v>90</v>
      </c>
      <c r="D286" s="140" t="s">
        <v>89</v>
      </c>
      <c r="E286" s="173">
        <v>21000</v>
      </c>
      <c r="F286" s="122">
        <v>15886.04</v>
      </c>
      <c r="G286" s="173">
        <v>21000</v>
      </c>
      <c r="H286" s="173"/>
      <c r="I286" s="34">
        <f>G286</f>
        <v>21000</v>
      </c>
      <c r="J286" s="5"/>
      <c r="K286" s="5"/>
    </row>
    <row r="287" spans="1:12" ht="15" customHeight="1">
      <c r="A287" s="375"/>
      <c r="B287" s="343"/>
      <c r="C287" s="139" t="s">
        <v>88</v>
      </c>
      <c r="D287" s="140" t="s">
        <v>87</v>
      </c>
      <c r="E287" s="173">
        <v>1500</v>
      </c>
      <c r="F287" s="122">
        <v>1178.77</v>
      </c>
      <c r="G287" s="173">
        <v>1500</v>
      </c>
      <c r="H287" s="173"/>
      <c r="I287" s="34">
        <f>G287</f>
        <v>1500</v>
      </c>
      <c r="J287" s="5"/>
      <c r="K287" s="5"/>
    </row>
    <row r="288" spans="1:12" ht="15" customHeight="1">
      <c r="A288" s="375"/>
      <c r="B288" s="343"/>
      <c r="C288" s="139" t="s">
        <v>4</v>
      </c>
      <c r="D288" s="140" t="s">
        <v>135</v>
      </c>
      <c r="E288" s="173">
        <v>15020</v>
      </c>
      <c r="F288" s="122">
        <v>9380.86</v>
      </c>
      <c r="G288" s="173">
        <v>15020</v>
      </c>
      <c r="H288" s="173"/>
      <c r="I288" s="34">
        <f>G288</f>
        <v>15020</v>
      </c>
      <c r="J288" s="5"/>
      <c r="K288" s="5"/>
    </row>
    <row r="289" spans="1:11" ht="15" customHeight="1">
      <c r="A289" s="375"/>
      <c r="B289" s="343"/>
      <c r="C289" s="136" t="s">
        <v>85</v>
      </c>
      <c r="D289" s="137" t="s">
        <v>84</v>
      </c>
      <c r="E289" s="173">
        <v>3100</v>
      </c>
      <c r="F289" s="122">
        <v>307.97000000000003</v>
      </c>
      <c r="G289" s="173">
        <v>3100</v>
      </c>
      <c r="H289" s="173"/>
      <c r="I289" s="34">
        <f>G289</f>
        <v>3100</v>
      </c>
      <c r="J289" s="5"/>
      <c r="K289" s="5"/>
    </row>
    <row r="290" spans="1:11" ht="15" customHeight="1">
      <c r="A290" s="375"/>
      <c r="B290" s="343"/>
      <c r="C290" s="136" t="s">
        <v>83</v>
      </c>
      <c r="D290" s="137" t="s">
        <v>82</v>
      </c>
      <c r="E290" s="173">
        <v>83695</v>
      </c>
      <c r="F290" s="122">
        <v>48773.81</v>
      </c>
      <c r="G290" s="173">
        <v>83695</v>
      </c>
      <c r="H290" s="173"/>
      <c r="I290" s="34">
        <f>G290</f>
        <v>83695</v>
      </c>
      <c r="J290" s="5"/>
      <c r="K290" s="5"/>
    </row>
    <row r="291" spans="1:11" ht="15" customHeight="1">
      <c r="A291" s="375"/>
      <c r="B291" s="343"/>
      <c r="C291" s="139" t="s">
        <v>2</v>
      </c>
      <c r="D291" s="140" t="s">
        <v>26</v>
      </c>
      <c r="E291" s="173">
        <v>643300</v>
      </c>
      <c r="F291" s="122">
        <v>404140.91</v>
      </c>
      <c r="G291" s="173">
        <v>643300</v>
      </c>
      <c r="H291" s="173"/>
      <c r="I291" s="34"/>
      <c r="J291" s="5"/>
      <c r="K291" s="5"/>
    </row>
    <row r="292" spans="1:11" ht="15" customHeight="1" thickBot="1">
      <c r="A292" s="375"/>
      <c r="B292" s="343"/>
      <c r="C292" s="142" t="s">
        <v>73</v>
      </c>
      <c r="D292" s="143" t="s">
        <v>72</v>
      </c>
      <c r="E292" s="201">
        <v>575</v>
      </c>
      <c r="F292" s="122">
        <v>575</v>
      </c>
      <c r="G292" s="201">
        <v>575</v>
      </c>
      <c r="H292" s="201"/>
      <c r="I292" s="34"/>
      <c r="J292" s="5"/>
      <c r="K292" s="5"/>
    </row>
    <row r="293" spans="1:11" ht="15" customHeight="1" thickBot="1">
      <c r="A293" s="375"/>
      <c r="B293" s="49" t="s">
        <v>108</v>
      </c>
      <c r="C293" s="49"/>
      <c r="D293" s="51" t="s">
        <v>107</v>
      </c>
      <c r="E293" s="194">
        <f>SUM(E294:E294)</f>
        <v>30000</v>
      </c>
      <c r="F293" s="127">
        <f>SUM(F294:F294)</f>
        <v>26991</v>
      </c>
      <c r="G293" s="194">
        <f>SUM(G294:G294)</f>
        <v>30000</v>
      </c>
      <c r="H293" s="194">
        <f>SUM(H294:H294)</f>
        <v>0</v>
      </c>
      <c r="I293" s="34"/>
      <c r="J293" s="5"/>
      <c r="K293" s="5"/>
    </row>
    <row r="294" spans="1:11" ht="30" customHeight="1" thickBot="1">
      <c r="A294" s="375"/>
      <c r="B294" s="319"/>
      <c r="C294" s="192" t="s">
        <v>279</v>
      </c>
      <c r="D294" s="137" t="s">
        <v>385</v>
      </c>
      <c r="E294" s="138">
        <v>30000</v>
      </c>
      <c r="F294" s="202">
        <v>26991</v>
      </c>
      <c r="G294" s="138">
        <v>30000</v>
      </c>
      <c r="H294" s="138"/>
      <c r="I294" s="34"/>
      <c r="J294" s="5"/>
      <c r="K294" s="5"/>
    </row>
    <row r="295" spans="1:11" ht="15" customHeight="1" thickBot="1">
      <c r="A295" s="375"/>
      <c r="B295" s="49" t="s">
        <v>270</v>
      </c>
      <c r="C295" s="203"/>
      <c r="D295" s="51" t="s">
        <v>271</v>
      </c>
      <c r="E295" s="52">
        <f>SUM(E296)</f>
        <v>30000</v>
      </c>
      <c r="F295" s="53">
        <f>SUM(F296)</f>
        <v>0</v>
      </c>
      <c r="G295" s="52">
        <f>SUM(G296)</f>
        <v>30000</v>
      </c>
      <c r="H295" s="52">
        <f>SUM(H296)</f>
        <v>0</v>
      </c>
      <c r="I295" s="34"/>
      <c r="J295" s="5"/>
      <c r="K295" s="5"/>
    </row>
    <row r="296" spans="1:11" ht="30" customHeight="1" thickBot="1">
      <c r="A296" s="375"/>
      <c r="B296" s="204"/>
      <c r="C296" s="192" t="s">
        <v>279</v>
      </c>
      <c r="D296" s="137" t="s">
        <v>385</v>
      </c>
      <c r="E296" s="161">
        <v>30000</v>
      </c>
      <c r="F296" s="57"/>
      <c r="G296" s="161">
        <v>30000</v>
      </c>
      <c r="H296" s="161"/>
      <c r="I296" s="34"/>
      <c r="J296" s="5"/>
      <c r="K296" s="5"/>
    </row>
    <row r="297" spans="1:11" ht="15" customHeight="1" thickBot="1">
      <c r="A297" s="375"/>
      <c r="B297" s="49" t="s">
        <v>275</v>
      </c>
      <c r="C297" s="49"/>
      <c r="D297" s="51" t="s">
        <v>276</v>
      </c>
      <c r="E297" s="52">
        <f>SUM(E298:E315)</f>
        <v>708942</v>
      </c>
      <c r="F297" s="53">
        <f>SUM(F298:F315)</f>
        <v>299714.19</v>
      </c>
      <c r="G297" s="52">
        <f>SUM(G298:G315)</f>
        <v>708942</v>
      </c>
      <c r="H297" s="52">
        <f>SUM(H298:H315)</f>
        <v>0</v>
      </c>
      <c r="I297" s="34"/>
      <c r="J297" s="5"/>
      <c r="K297" s="5"/>
    </row>
    <row r="298" spans="1:11" ht="15" customHeight="1">
      <c r="A298" s="375"/>
      <c r="B298" s="342"/>
      <c r="C298" s="192" t="s">
        <v>92</v>
      </c>
      <c r="D298" s="137" t="s">
        <v>91</v>
      </c>
      <c r="E298" s="138">
        <v>1875</v>
      </c>
      <c r="F298" s="86">
        <v>48.5</v>
      </c>
      <c r="G298" s="138">
        <v>1875</v>
      </c>
      <c r="H298" s="138"/>
      <c r="I298" s="34"/>
      <c r="J298" s="5"/>
      <c r="K298" s="5"/>
    </row>
    <row r="299" spans="1:11" ht="15" customHeight="1">
      <c r="A299" s="375"/>
      <c r="B299" s="343"/>
      <c r="C299" s="164" t="s">
        <v>90</v>
      </c>
      <c r="D299" s="137" t="s">
        <v>89</v>
      </c>
      <c r="E299" s="141">
        <v>474700</v>
      </c>
      <c r="F299" s="118">
        <v>160753.34</v>
      </c>
      <c r="G299" s="141">
        <v>474700</v>
      </c>
      <c r="H299" s="141"/>
      <c r="I299" s="34">
        <f>G299</f>
        <v>474700</v>
      </c>
      <c r="J299" s="5"/>
      <c r="K299" s="5"/>
    </row>
    <row r="300" spans="1:11" ht="15" customHeight="1">
      <c r="A300" s="375"/>
      <c r="B300" s="343"/>
      <c r="C300" s="164" t="s">
        <v>88</v>
      </c>
      <c r="D300" s="140" t="s">
        <v>87</v>
      </c>
      <c r="E300" s="141">
        <v>22738</v>
      </c>
      <c r="F300" s="118">
        <v>4799.05</v>
      </c>
      <c r="G300" s="141">
        <v>22738</v>
      </c>
      <c r="H300" s="141"/>
      <c r="I300" s="34">
        <f>G300</f>
        <v>22738</v>
      </c>
      <c r="J300" s="5"/>
      <c r="K300" s="5"/>
    </row>
    <row r="301" spans="1:11" ht="15" customHeight="1">
      <c r="A301" s="375"/>
      <c r="B301" s="343"/>
      <c r="C301" s="164" t="s">
        <v>4</v>
      </c>
      <c r="D301" s="140" t="s">
        <v>135</v>
      </c>
      <c r="E301" s="141">
        <v>83917</v>
      </c>
      <c r="F301" s="118">
        <v>22737.54</v>
      </c>
      <c r="G301" s="141">
        <v>83917</v>
      </c>
      <c r="H301" s="141"/>
      <c r="I301" s="34">
        <f>G301</f>
        <v>83917</v>
      </c>
      <c r="J301" s="5"/>
      <c r="K301" s="5"/>
    </row>
    <row r="302" spans="1:11" ht="15" customHeight="1">
      <c r="A302" s="375"/>
      <c r="B302" s="343"/>
      <c r="C302" s="164" t="s">
        <v>85</v>
      </c>
      <c r="D302" s="140" t="s">
        <v>84</v>
      </c>
      <c r="E302" s="141">
        <v>12460</v>
      </c>
      <c r="F302" s="118">
        <v>2395.8200000000002</v>
      </c>
      <c r="G302" s="141">
        <v>12460</v>
      </c>
      <c r="H302" s="141"/>
      <c r="I302" s="34">
        <f>G302</f>
        <v>12460</v>
      </c>
      <c r="J302" s="5"/>
      <c r="K302" s="5"/>
    </row>
    <row r="303" spans="1:11" ht="15" customHeight="1">
      <c r="A303" s="375"/>
      <c r="B303" s="343"/>
      <c r="C303" s="164" t="s">
        <v>83</v>
      </c>
      <c r="D303" s="137" t="s">
        <v>82</v>
      </c>
      <c r="E303" s="141">
        <v>11150</v>
      </c>
      <c r="F303" s="118">
        <v>900</v>
      </c>
      <c r="G303" s="141">
        <v>11150</v>
      </c>
      <c r="H303" s="141"/>
      <c r="I303" s="34">
        <f>G303</f>
        <v>11150</v>
      </c>
      <c r="J303" s="5"/>
      <c r="K303" s="5"/>
    </row>
    <row r="304" spans="1:11" ht="15" customHeight="1">
      <c r="A304" s="375"/>
      <c r="B304" s="343"/>
      <c r="C304" s="164" t="s">
        <v>30</v>
      </c>
      <c r="D304" s="140" t="s">
        <v>250</v>
      </c>
      <c r="E304" s="141">
        <v>10200</v>
      </c>
      <c r="F304" s="118">
        <v>7724.89</v>
      </c>
      <c r="G304" s="141">
        <v>10200</v>
      </c>
      <c r="H304" s="141"/>
      <c r="I304" s="34"/>
      <c r="J304" s="5"/>
      <c r="K304" s="5"/>
    </row>
    <row r="305" spans="1:11" ht="15" customHeight="1">
      <c r="A305" s="375"/>
      <c r="B305" s="343"/>
      <c r="C305" s="164" t="s">
        <v>244</v>
      </c>
      <c r="D305" s="140" t="s">
        <v>245</v>
      </c>
      <c r="E305" s="141">
        <f>80000-30000</f>
        <v>50000</v>
      </c>
      <c r="F305" s="118">
        <v>78036.13</v>
      </c>
      <c r="G305" s="141">
        <f>E305</f>
        <v>50000</v>
      </c>
      <c r="H305" s="141"/>
      <c r="I305" s="34"/>
      <c r="J305" s="5"/>
      <c r="K305" s="5"/>
    </row>
    <row r="306" spans="1:11" ht="15" customHeight="1">
      <c r="A306" s="375"/>
      <c r="B306" s="343"/>
      <c r="C306" s="164" t="s">
        <v>28</v>
      </c>
      <c r="D306" s="140" t="s">
        <v>27</v>
      </c>
      <c r="E306" s="141">
        <v>2100</v>
      </c>
      <c r="F306" s="118"/>
      <c r="G306" s="141">
        <v>2100</v>
      </c>
      <c r="H306" s="141"/>
      <c r="I306" s="34"/>
      <c r="J306" s="5"/>
      <c r="K306" s="5"/>
    </row>
    <row r="307" spans="1:11" ht="15" customHeight="1">
      <c r="A307" s="375"/>
      <c r="B307" s="343"/>
      <c r="C307" s="164" t="s">
        <v>80</v>
      </c>
      <c r="D307" s="137" t="s">
        <v>79</v>
      </c>
      <c r="E307" s="141">
        <v>500</v>
      </c>
      <c r="F307" s="118">
        <v>455</v>
      </c>
      <c r="G307" s="141">
        <v>500</v>
      </c>
      <c r="H307" s="141"/>
      <c r="I307" s="34"/>
      <c r="J307" s="5"/>
      <c r="K307" s="5"/>
    </row>
    <row r="308" spans="1:11" ht="15" customHeight="1">
      <c r="A308" s="375"/>
      <c r="B308" s="343"/>
      <c r="C308" s="164" t="s">
        <v>2</v>
      </c>
      <c r="D308" s="137" t="s">
        <v>26</v>
      </c>
      <c r="E308" s="141">
        <v>1000</v>
      </c>
      <c r="F308" s="118">
        <v>230.58</v>
      </c>
      <c r="G308" s="141">
        <v>1000</v>
      </c>
      <c r="H308" s="141"/>
      <c r="I308" s="34"/>
      <c r="J308" s="5"/>
      <c r="K308" s="5"/>
    </row>
    <row r="309" spans="1:11" ht="15" customHeight="1">
      <c r="A309" s="375"/>
      <c r="B309" s="343"/>
      <c r="C309" s="164" t="s">
        <v>78</v>
      </c>
      <c r="D309" s="140" t="s">
        <v>320</v>
      </c>
      <c r="E309" s="141">
        <v>500</v>
      </c>
      <c r="F309" s="118"/>
      <c r="G309" s="141">
        <v>500</v>
      </c>
      <c r="H309" s="141"/>
      <c r="I309" s="34"/>
      <c r="J309" s="5"/>
      <c r="K309" s="5"/>
    </row>
    <row r="310" spans="1:11" ht="30" customHeight="1">
      <c r="A310" s="375"/>
      <c r="B310" s="343"/>
      <c r="C310" s="164" t="s">
        <v>146</v>
      </c>
      <c r="D310" s="140" t="s">
        <v>323</v>
      </c>
      <c r="E310" s="141">
        <v>1400</v>
      </c>
      <c r="F310" s="118">
        <v>1008.07</v>
      </c>
      <c r="G310" s="141">
        <v>1400</v>
      </c>
      <c r="H310" s="141"/>
      <c r="I310" s="34"/>
      <c r="J310" s="5"/>
      <c r="K310" s="5"/>
    </row>
    <row r="311" spans="1:11" ht="30" customHeight="1">
      <c r="A311" s="375"/>
      <c r="B311" s="343"/>
      <c r="C311" s="164" t="s">
        <v>76</v>
      </c>
      <c r="D311" s="140" t="s">
        <v>324</v>
      </c>
      <c r="E311" s="141">
        <v>2000</v>
      </c>
      <c r="F311" s="118">
        <v>336.97</v>
      </c>
      <c r="G311" s="141">
        <v>2000</v>
      </c>
      <c r="H311" s="141"/>
      <c r="I311" s="34"/>
      <c r="J311" s="5"/>
      <c r="K311" s="5"/>
    </row>
    <row r="312" spans="1:11" ht="15" customHeight="1">
      <c r="A312" s="375"/>
      <c r="B312" s="343"/>
      <c r="C312" s="164" t="s">
        <v>75</v>
      </c>
      <c r="D312" s="143" t="s">
        <v>251</v>
      </c>
      <c r="E312" s="141">
        <v>1000</v>
      </c>
      <c r="F312" s="118">
        <v>870.3</v>
      </c>
      <c r="G312" s="141">
        <v>1000</v>
      </c>
      <c r="H312" s="141"/>
      <c r="I312" s="34"/>
      <c r="J312" s="5"/>
      <c r="K312" s="5"/>
    </row>
    <row r="313" spans="1:11" ht="15" customHeight="1">
      <c r="A313" s="375"/>
      <c r="B313" s="343"/>
      <c r="C313" s="164" t="s">
        <v>25</v>
      </c>
      <c r="D313" s="140" t="s">
        <v>193</v>
      </c>
      <c r="E313" s="141">
        <v>2000</v>
      </c>
      <c r="F313" s="118"/>
      <c r="G313" s="141">
        <v>2000</v>
      </c>
      <c r="H313" s="141"/>
      <c r="I313" s="34"/>
      <c r="J313" s="5"/>
      <c r="K313" s="5"/>
    </row>
    <row r="314" spans="1:11" ht="15" customHeight="1">
      <c r="A314" s="375"/>
      <c r="B314" s="343"/>
      <c r="C314" s="205">
        <v>4440</v>
      </c>
      <c r="D314" s="143" t="s">
        <v>72</v>
      </c>
      <c r="E314" s="141">
        <v>30902</v>
      </c>
      <c r="F314" s="118">
        <v>19418</v>
      </c>
      <c r="G314" s="141">
        <v>30902</v>
      </c>
      <c r="H314" s="141"/>
      <c r="I314" s="34"/>
      <c r="J314" s="5"/>
      <c r="K314" s="5"/>
    </row>
    <row r="315" spans="1:11" ht="15" customHeight="1" thickBot="1">
      <c r="A315" s="375"/>
      <c r="B315" s="344"/>
      <c r="C315" s="206">
        <v>4700</v>
      </c>
      <c r="D315" s="143" t="s">
        <v>70</v>
      </c>
      <c r="E315" s="144">
        <v>500</v>
      </c>
      <c r="F315" s="118"/>
      <c r="G315" s="144">
        <v>500</v>
      </c>
      <c r="H315" s="144"/>
      <c r="I315" s="34"/>
      <c r="J315" s="5"/>
      <c r="K315" s="5"/>
    </row>
    <row r="316" spans="1:11" ht="15" customHeight="1" thickBot="1">
      <c r="A316" s="375"/>
      <c r="B316" s="49" t="s">
        <v>248</v>
      </c>
      <c r="C316" s="109"/>
      <c r="D316" s="51" t="s">
        <v>249</v>
      </c>
      <c r="E316" s="184">
        <f>SUM(E317:E327)</f>
        <v>131406</v>
      </c>
      <c r="F316" s="185">
        <f>SUM(F317:F327)</f>
        <v>64292.78</v>
      </c>
      <c r="G316" s="184">
        <f>SUM(G317:G327)</f>
        <v>131406</v>
      </c>
      <c r="H316" s="186">
        <f>SUM(H317:H327)</f>
        <v>0</v>
      </c>
      <c r="I316" s="34"/>
      <c r="J316" s="5"/>
      <c r="K316" s="5"/>
    </row>
    <row r="317" spans="1:11" ht="15" customHeight="1">
      <c r="A317" s="375"/>
      <c r="B317" s="342"/>
      <c r="C317" s="207" t="s">
        <v>90</v>
      </c>
      <c r="D317" s="147" t="s">
        <v>89</v>
      </c>
      <c r="E317" s="199">
        <v>48352</v>
      </c>
      <c r="F317" s="128">
        <v>24306.13</v>
      </c>
      <c r="G317" s="199">
        <v>48352</v>
      </c>
      <c r="H317" s="199"/>
      <c r="I317" s="34">
        <f>G317</f>
        <v>48352</v>
      </c>
      <c r="J317" s="5"/>
      <c r="K317" s="5"/>
    </row>
    <row r="318" spans="1:11" ht="15" customHeight="1">
      <c r="A318" s="375"/>
      <c r="B318" s="343"/>
      <c r="C318" s="136" t="s">
        <v>88</v>
      </c>
      <c r="D318" s="140" t="s">
        <v>87</v>
      </c>
      <c r="E318" s="172">
        <v>4018</v>
      </c>
      <c r="F318" s="118">
        <v>3830</v>
      </c>
      <c r="G318" s="172">
        <v>4018</v>
      </c>
      <c r="H318" s="172"/>
      <c r="I318" s="34">
        <f>G318</f>
        <v>4018</v>
      </c>
      <c r="J318" s="5"/>
      <c r="K318" s="5"/>
    </row>
    <row r="319" spans="1:11" ht="15" customHeight="1">
      <c r="A319" s="375"/>
      <c r="B319" s="343"/>
      <c r="C319" s="139" t="s">
        <v>4</v>
      </c>
      <c r="D319" s="140" t="s">
        <v>135</v>
      </c>
      <c r="E319" s="173">
        <v>7800</v>
      </c>
      <c r="F319" s="118">
        <v>4335.1499999999996</v>
      </c>
      <c r="G319" s="173">
        <v>7800</v>
      </c>
      <c r="H319" s="173"/>
      <c r="I319" s="34">
        <f>G319</f>
        <v>7800</v>
      </c>
      <c r="J319" s="5"/>
      <c r="K319" s="5"/>
    </row>
    <row r="320" spans="1:11" ht="15" customHeight="1">
      <c r="A320" s="375"/>
      <c r="B320" s="343"/>
      <c r="C320" s="139" t="s">
        <v>85</v>
      </c>
      <c r="D320" s="140" t="s">
        <v>84</v>
      </c>
      <c r="E320" s="173">
        <v>1186</v>
      </c>
      <c r="F320" s="118">
        <v>624.09</v>
      </c>
      <c r="G320" s="173">
        <v>1186</v>
      </c>
      <c r="H320" s="173"/>
      <c r="I320" s="34">
        <f>G320</f>
        <v>1186</v>
      </c>
      <c r="J320" s="5"/>
      <c r="K320" s="5"/>
    </row>
    <row r="321" spans="1:11" ht="15" customHeight="1">
      <c r="A321" s="375"/>
      <c r="B321" s="343"/>
      <c r="C321" s="139" t="s">
        <v>30</v>
      </c>
      <c r="D321" s="140" t="s">
        <v>250</v>
      </c>
      <c r="E321" s="173">
        <v>12230</v>
      </c>
      <c r="F321" s="118">
        <v>257</v>
      </c>
      <c r="G321" s="173">
        <v>12230</v>
      </c>
      <c r="H321" s="173"/>
      <c r="I321" s="34"/>
      <c r="J321" s="5"/>
      <c r="K321" s="5"/>
    </row>
    <row r="322" spans="1:11" ht="15" customHeight="1">
      <c r="A322" s="375"/>
      <c r="B322" s="343"/>
      <c r="C322" s="164" t="s">
        <v>28</v>
      </c>
      <c r="D322" s="140" t="s">
        <v>27</v>
      </c>
      <c r="E322" s="173">
        <v>2420</v>
      </c>
      <c r="F322" s="118"/>
      <c r="G322" s="173">
        <v>2420</v>
      </c>
      <c r="H322" s="173"/>
      <c r="I322" s="34"/>
      <c r="J322" s="5"/>
      <c r="K322" s="5"/>
    </row>
    <row r="323" spans="1:11" ht="15" customHeight="1">
      <c r="A323" s="375"/>
      <c r="B323" s="343"/>
      <c r="C323" s="164" t="s">
        <v>2</v>
      </c>
      <c r="D323" s="140" t="s">
        <v>26</v>
      </c>
      <c r="E323" s="173">
        <v>30200</v>
      </c>
      <c r="F323" s="118">
        <v>16039</v>
      </c>
      <c r="G323" s="173">
        <v>30200</v>
      </c>
      <c r="H323" s="173"/>
      <c r="I323" s="34"/>
      <c r="J323" s="5"/>
      <c r="K323" s="5"/>
    </row>
    <row r="324" spans="1:11" ht="15" customHeight="1">
      <c r="A324" s="375"/>
      <c r="B324" s="343"/>
      <c r="C324" s="164" t="s">
        <v>78</v>
      </c>
      <c r="D324" s="140" t="s">
        <v>320</v>
      </c>
      <c r="E324" s="173">
        <v>500</v>
      </c>
      <c r="F324" s="118">
        <v>108.58</v>
      </c>
      <c r="G324" s="173">
        <v>500</v>
      </c>
      <c r="H324" s="173"/>
      <c r="I324" s="34"/>
      <c r="J324" s="5"/>
      <c r="K324" s="5"/>
    </row>
    <row r="325" spans="1:11" ht="30" customHeight="1">
      <c r="A325" s="375"/>
      <c r="B325" s="343"/>
      <c r="C325" s="164" t="s">
        <v>76</v>
      </c>
      <c r="D325" s="140" t="s">
        <v>324</v>
      </c>
      <c r="E325" s="173">
        <v>600</v>
      </c>
      <c r="F325" s="118">
        <v>136.72</v>
      </c>
      <c r="G325" s="173">
        <v>600</v>
      </c>
      <c r="H325" s="173"/>
      <c r="I325" s="34"/>
      <c r="J325" s="5"/>
      <c r="K325" s="5"/>
    </row>
    <row r="326" spans="1:11" ht="14.25" customHeight="1">
      <c r="A326" s="375"/>
      <c r="B326" s="343"/>
      <c r="C326" s="142" t="s">
        <v>75</v>
      </c>
      <c r="D326" s="143" t="s">
        <v>251</v>
      </c>
      <c r="E326" s="201">
        <v>2600</v>
      </c>
      <c r="F326" s="122">
        <v>617.11</v>
      </c>
      <c r="G326" s="201">
        <v>2600</v>
      </c>
      <c r="H326" s="201"/>
      <c r="I326" s="34"/>
      <c r="J326" s="5"/>
      <c r="K326" s="5"/>
    </row>
    <row r="327" spans="1:11" ht="14.25" customHeight="1" thickBot="1">
      <c r="A327" s="375"/>
      <c r="B327" s="344"/>
      <c r="C327" s="208" t="s">
        <v>71</v>
      </c>
      <c r="D327" s="188" t="s">
        <v>70</v>
      </c>
      <c r="E327" s="189">
        <v>21500</v>
      </c>
      <c r="F327" s="209">
        <v>14039</v>
      </c>
      <c r="G327" s="189">
        <v>21500</v>
      </c>
      <c r="H327" s="189"/>
      <c r="I327" s="34"/>
      <c r="J327" s="5"/>
      <c r="K327" s="5"/>
    </row>
    <row r="328" spans="1:11" ht="15" customHeight="1" thickBot="1">
      <c r="A328" s="375"/>
      <c r="B328" s="325" t="s">
        <v>252</v>
      </c>
      <c r="C328" s="210"/>
      <c r="D328" s="152" t="s">
        <v>386</v>
      </c>
      <c r="E328" s="211">
        <f>SUM(E329:E330)</f>
        <v>104000</v>
      </c>
      <c r="F328" s="185">
        <f>SUM(F329:F330)</f>
        <v>64252.5</v>
      </c>
      <c r="G328" s="211">
        <f>SUM(G329:G330)</f>
        <v>104000</v>
      </c>
      <c r="H328" s="212">
        <f>SUM(H329:H330)</f>
        <v>0</v>
      </c>
      <c r="I328" s="34"/>
      <c r="J328" s="5"/>
      <c r="K328" s="5"/>
    </row>
    <row r="329" spans="1:11" ht="15" customHeight="1">
      <c r="A329" s="375"/>
      <c r="B329" s="342"/>
      <c r="C329" s="159" t="s">
        <v>30</v>
      </c>
      <c r="D329" s="137" t="s">
        <v>29</v>
      </c>
      <c r="E329" s="172">
        <v>4000</v>
      </c>
      <c r="F329" s="86">
        <v>1964</v>
      </c>
      <c r="G329" s="172">
        <v>4000</v>
      </c>
      <c r="H329" s="172"/>
      <c r="I329" s="34"/>
      <c r="J329" s="5"/>
      <c r="K329" s="5"/>
    </row>
    <row r="330" spans="1:11" ht="15" customHeight="1" thickBot="1">
      <c r="A330" s="375"/>
      <c r="B330" s="344"/>
      <c r="C330" s="142" t="s">
        <v>148</v>
      </c>
      <c r="D330" s="143" t="s">
        <v>147</v>
      </c>
      <c r="E330" s="201">
        <v>100000</v>
      </c>
      <c r="F330" s="122">
        <v>62288.5</v>
      </c>
      <c r="G330" s="201">
        <v>100000</v>
      </c>
      <c r="H330" s="201"/>
      <c r="I330" s="34"/>
      <c r="J330" s="5"/>
      <c r="K330" s="5"/>
    </row>
    <row r="331" spans="1:11" ht="15" customHeight="1" thickBot="1">
      <c r="A331" s="375"/>
      <c r="B331" s="49" t="s">
        <v>253</v>
      </c>
      <c r="C331" s="109"/>
      <c r="D331" s="51" t="s">
        <v>11</v>
      </c>
      <c r="E331" s="184">
        <f>SUM(E332:E353)</f>
        <v>2489801</v>
      </c>
      <c r="F331" s="213">
        <f>SUM(F332:F353)</f>
        <v>126165.44999999998</v>
      </c>
      <c r="G331" s="184">
        <f>SUM(G332:G353)</f>
        <v>2489801</v>
      </c>
      <c r="H331" s="186">
        <f>SUM(H332:H353)</f>
        <v>0</v>
      </c>
      <c r="I331" s="34"/>
      <c r="J331" s="5"/>
      <c r="K331" s="5"/>
    </row>
    <row r="332" spans="1:11" ht="15" customHeight="1">
      <c r="A332" s="375"/>
      <c r="B332" s="342"/>
      <c r="C332" s="139" t="s">
        <v>291</v>
      </c>
      <c r="D332" s="137" t="s">
        <v>89</v>
      </c>
      <c r="E332" s="173">
        <f>57970</f>
        <v>57970</v>
      </c>
      <c r="F332" s="214"/>
      <c r="G332" s="173">
        <f>57970</f>
        <v>57970</v>
      </c>
      <c r="H332" s="173"/>
      <c r="I332" s="34">
        <f t="shared" ref="I332:I339" si="1">G332</f>
        <v>57970</v>
      </c>
      <c r="J332" s="5"/>
      <c r="K332" s="5"/>
    </row>
    <row r="333" spans="1:11" ht="15" customHeight="1">
      <c r="A333" s="375"/>
      <c r="B333" s="343"/>
      <c r="C333" s="139" t="s">
        <v>236</v>
      </c>
      <c r="D333" s="137" t="s">
        <v>89</v>
      </c>
      <c r="E333" s="173">
        <f>10230</f>
        <v>10230</v>
      </c>
      <c r="F333" s="118"/>
      <c r="G333" s="173">
        <f>10230</f>
        <v>10230</v>
      </c>
      <c r="H333" s="173"/>
      <c r="I333" s="34">
        <f t="shared" si="1"/>
        <v>10230</v>
      </c>
      <c r="J333" s="5"/>
      <c r="K333" s="5"/>
    </row>
    <row r="334" spans="1:11" ht="15" customHeight="1">
      <c r="A334" s="375"/>
      <c r="B334" s="343"/>
      <c r="C334" s="139" t="s">
        <v>294</v>
      </c>
      <c r="D334" s="140" t="s">
        <v>3</v>
      </c>
      <c r="E334" s="173">
        <f>26478+1515+15763</f>
        <v>43756</v>
      </c>
      <c r="F334" s="118">
        <v>1623.61</v>
      </c>
      <c r="G334" s="173">
        <f>26478+1515+15763</f>
        <v>43756</v>
      </c>
      <c r="H334" s="173"/>
      <c r="I334" s="34">
        <f t="shared" si="1"/>
        <v>43756</v>
      </c>
      <c r="J334" s="5"/>
      <c r="K334" s="5"/>
    </row>
    <row r="335" spans="1:11" ht="15" customHeight="1">
      <c r="A335" s="375"/>
      <c r="B335" s="343"/>
      <c r="C335" s="139" t="s">
        <v>238</v>
      </c>
      <c r="D335" s="140" t="s">
        <v>3</v>
      </c>
      <c r="E335" s="173">
        <f>4673+268+2781</f>
        <v>7722</v>
      </c>
      <c r="F335" s="118">
        <v>286.52</v>
      </c>
      <c r="G335" s="173">
        <f>4673+268+2781</f>
        <v>7722</v>
      </c>
      <c r="H335" s="173"/>
      <c r="I335" s="34">
        <f t="shared" si="1"/>
        <v>7722</v>
      </c>
      <c r="J335" s="5"/>
      <c r="K335" s="5"/>
    </row>
    <row r="336" spans="1:11" ht="15" customHeight="1">
      <c r="A336" s="375"/>
      <c r="B336" s="343"/>
      <c r="C336" s="139" t="s">
        <v>295</v>
      </c>
      <c r="D336" s="140" t="s">
        <v>84</v>
      </c>
      <c r="E336" s="173">
        <f>2508+245+2548</f>
        <v>5301</v>
      </c>
      <c r="F336" s="118">
        <v>261.88</v>
      </c>
      <c r="G336" s="173">
        <f>2508+245+2548</f>
        <v>5301</v>
      </c>
      <c r="H336" s="173"/>
      <c r="I336" s="34">
        <f t="shared" si="1"/>
        <v>5301</v>
      </c>
      <c r="J336" s="5"/>
      <c r="K336" s="5"/>
    </row>
    <row r="337" spans="1:11" ht="15" customHeight="1">
      <c r="A337" s="375"/>
      <c r="B337" s="343"/>
      <c r="C337" s="139" t="s">
        <v>239</v>
      </c>
      <c r="D337" s="140" t="s">
        <v>84</v>
      </c>
      <c r="E337" s="173">
        <f>443+44+450</f>
        <v>937</v>
      </c>
      <c r="F337" s="118">
        <v>46.21</v>
      </c>
      <c r="G337" s="173">
        <f>443+44+450</f>
        <v>937</v>
      </c>
      <c r="H337" s="173"/>
      <c r="I337" s="34">
        <f t="shared" si="1"/>
        <v>937</v>
      </c>
      <c r="J337" s="5"/>
      <c r="K337" s="5"/>
    </row>
    <row r="338" spans="1:11" ht="15" customHeight="1">
      <c r="A338" s="375"/>
      <c r="B338" s="343"/>
      <c r="C338" s="139" t="s">
        <v>308</v>
      </c>
      <c r="D338" s="140" t="s">
        <v>95</v>
      </c>
      <c r="E338" s="173">
        <f>193905+156851+117797</f>
        <v>468553</v>
      </c>
      <c r="F338" s="118">
        <v>79113.75</v>
      </c>
      <c r="G338" s="173">
        <f>193905+156851+117797</f>
        <v>468553</v>
      </c>
      <c r="H338" s="173"/>
      <c r="I338" s="34">
        <f t="shared" si="1"/>
        <v>468553</v>
      </c>
      <c r="J338" s="5"/>
      <c r="K338" s="5"/>
    </row>
    <row r="339" spans="1:11" ht="15" customHeight="1">
      <c r="A339" s="375"/>
      <c r="B339" s="343"/>
      <c r="C339" s="139" t="s">
        <v>268</v>
      </c>
      <c r="D339" s="140" t="s">
        <v>95</v>
      </c>
      <c r="E339" s="173">
        <f>34218+27680+20787</f>
        <v>82685</v>
      </c>
      <c r="F339" s="118">
        <v>13961.25</v>
      </c>
      <c r="G339" s="173">
        <f>34218+27680+20787</f>
        <v>82685</v>
      </c>
      <c r="H339" s="173"/>
      <c r="I339" s="34">
        <f t="shared" si="1"/>
        <v>82685</v>
      </c>
      <c r="J339" s="5"/>
      <c r="K339" s="5"/>
    </row>
    <row r="340" spans="1:11" ht="15" customHeight="1">
      <c r="A340" s="375"/>
      <c r="B340" s="343"/>
      <c r="C340" s="139" t="s">
        <v>30</v>
      </c>
      <c r="D340" s="140" t="s">
        <v>29</v>
      </c>
      <c r="E340" s="173">
        <v>19000</v>
      </c>
      <c r="F340" s="118">
        <v>12518.34</v>
      </c>
      <c r="G340" s="173">
        <v>19000</v>
      </c>
      <c r="H340" s="173"/>
      <c r="I340" s="34"/>
      <c r="J340" s="5"/>
      <c r="K340" s="5"/>
    </row>
    <row r="341" spans="1:11" ht="15" customHeight="1">
      <c r="A341" s="375"/>
      <c r="B341" s="343"/>
      <c r="C341" s="139" t="s">
        <v>296</v>
      </c>
      <c r="D341" s="140" t="s">
        <v>29</v>
      </c>
      <c r="E341" s="173">
        <f>47345+35139+29916+1712</f>
        <v>114112</v>
      </c>
      <c r="F341" s="118">
        <v>11163.42</v>
      </c>
      <c r="G341" s="173">
        <f>E341</f>
        <v>114112</v>
      </c>
      <c r="H341" s="173"/>
      <c r="I341" s="34"/>
      <c r="J341" s="5"/>
      <c r="K341" s="5"/>
    </row>
    <row r="342" spans="1:11" ht="15" customHeight="1">
      <c r="A342" s="375"/>
      <c r="B342" s="343"/>
      <c r="C342" s="139" t="s">
        <v>240</v>
      </c>
      <c r="D342" s="140" t="s">
        <v>29</v>
      </c>
      <c r="E342" s="173">
        <f>8355+6201+5279+733</f>
        <v>20568</v>
      </c>
      <c r="F342" s="118">
        <v>1970.01</v>
      </c>
      <c r="G342" s="173">
        <f>E342</f>
        <v>20568</v>
      </c>
      <c r="H342" s="173"/>
      <c r="I342" s="34"/>
      <c r="J342" s="5"/>
      <c r="K342" s="5"/>
    </row>
    <row r="343" spans="1:11" ht="15" customHeight="1">
      <c r="A343" s="375"/>
      <c r="B343" s="343"/>
      <c r="C343" s="139" t="s">
        <v>312</v>
      </c>
      <c r="D343" s="140" t="s">
        <v>245</v>
      </c>
      <c r="E343" s="173">
        <f>8000</f>
        <v>8000</v>
      </c>
      <c r="F343" s="118"/>
      <c r="G343" s="173">
        <f>8000</f>
        <v>8000</v>
      </c>
      <c r="H343" s="173"/>
      <c r="I343" s="34"/>
      <c r="J343" s="5"/>
      <c r="K343" s="5"/>
    </row>
    <row r="344" spans="1:11" ht="15" customHeight="1">
      <c r="A344" s="375"/>
      <c r="B344" s="343"/>
      <c r="C344" s="139" t="s">
        <v>313</v>
      </c>
      <c r="D344" s="140" t="s">
        <v>245</v>
      </c>
      <c r="E344" s="173">
        <f>1412</f>
        <v>1412</v>
      </c>
      <c r="F344" s="118"/>
      <c r="G344" s="173">
        <f>1412</f>
        <v>1412</v>
      </c>
      <c r="H344" s="173"/>
      <c r="I344" s="34"/>
      <c r="J344" s="5"/>
      <c r="K344" s="5"/>
    </row>
    <row r="345" spans="1:11" ht="15" customHeight="1">
      <c r="A345" s="375"/>
      <c r="B345" s="343"/>
      <c r="C345" s="139" t="s">
        <v>2</v>
      </c>
      <c r="D345" s="140" t="s">
        <v>1</v>
      </c>
      <c r="E345" s="173">
        <v>8000</v>
      </c>
      <c r="F345" s="118">
        <v>3320.76</v>
      </c>
      <c r="G345" s="173">
        <v>8000</v>
      </c>
      <c r="H345" s="173"/>
      <c r="I345" s="34"/>
      <c r="J345" s="5"/>
      <c r="K345" s="5"/>
    </row>
    <row r="346" spans="1:11" ht="15" customHeight="1">
      <c r="A346" s="375"/>
      <c r="B346" s="343"/>
      <c r="C346" s="139" t="s">
        <v>298</v>
      </c>
      <c r="D346" s="140" t="s">
        <v>1</v>
      </c>
      <c r="E346" s="173">
        <f>1311761+46138+71790+8346</f>
        <v>1438035</v>
      </c>
      <c r="F346" s="118">
        <v>1453.5</v>
      </c>
      <c r="G346" s="173">
        <f>E346</f>
        <v>1438035</v>
      </c>
      <c r="H346" s="173"/>
      <c r="I346" s="34"/>
      <c r="J346" s="5"/>
      <c r="K346" s="5"/>
    </row>
    <row r="347" spans="1:11" ht="15" customHeight="1">
      <c r="A347" s="375"/>
      <c r="B347" s="343"/>
      <c r="C347" s="139" t="s">
        <v>310</v>
      </c>
      <c r="D347" s="140" t="s">
        <v>1</v>
      </c>
      <c r="E347" s="173">
        <f>155169+8142+12669+3580</f>
        <v>179560</v>
      </c>
      <c r="F347" s="118">
        <v>256.5</v>
      </c>
      <c r="G347" s="173">
        <f>E347</f>
        <v>179560</v>
      </c>
      <c r="H347" s="173"/>
      <c r="I347" s="34"/>
      <c r="J347" s="5"/>
      <c r="K347" s="5"/>
    </row>
    <row r="348" spans="1:11" ht="15" customHeight="1">
      <c r="A348" s="375"/>
      <c r="B348" s="343"/>
      <c r="C348" s="139" t="s">
        <v>314</v>
      </c>
      <c r="D348" s="140" t="s">
        <v>320</v>
      </c>
      <c r="E348" s="173">
        <f>1020+816</f>
        <v>1836</v>
      </c>
      <c r="F348" s="118"/>
      <c r="G348" s="173">
        <f>1020+816</f>
        <v>1836</v>
      </c>
      <c r="H348" s="173"/>
      <c r="I348" s="34"/>
      <c r="J348" s="5"/>
      <c r="K348" s="5"/>
    </row>
    <row r="349" spans="1:11" ht="15" customHeight="1">
      <c r="A349" s="375"/>
      <c r="B349" s="343"/>
      <c r="C349" s="139" t="s">
        <v>315</v>
      </c>
      <c r="D349" s="140" t="s">
        <v>320</v>
      </c>
      <c r="E349" s="173">
        <f>180+144</f>
        <v>324</v>
      </c>
      <c r="F349" s="118"/>
      <c r="G349" s="173">
        <f>180+144</f>
        <v>324</v>
      </c>
      <c r="H349" s="173"/>
      <c r="I349" s="34"/>
      <c r="J349" s="5"/>
      <c r="K349" s="5"/>
    </row>
    <row r="350" spans="1:11" ht="30" customHeight="1">
      <c r="A350" s="375"/>
      <c r="B350" s="343"/>
      <c r="C350" s="139" t="s">
        <v>316</v>
      </c>
      <c r="D350" s="140" t="s">
        <v>323</v>
      </c>
      <c r="E350" s="173">
        <f>6120+1530</f>
        <v>7650</v>
      </c>
      <c r="F350" s="118">
        <v>91.8</v>
      </c>
      <c r="G350" s="173">
        <f>6120+1530</f>
        <v>7650</v>
      </c>
      <c r="H350" s="173"/>
      <c r="I350" s="34"/>
      <c r="J350" s="5"/>
      <c r="K350" s="5"/>
    </row>
    <row r="351" spans="1:11" ht="30" customHeight="1">
      <c r="A351" s="375"/>
      <c r="B351" s="343"/>
      <c r="C351" s="139" t="s">
        <v>317</v>
      </c>
      <c r="D351" s="140" t="s">
        <v>323</v>
      </c>
      <c r="E351" s="173">
        <f>1080+270</f>
        <v>1350</v>
      </c>
      <c r="F351" s="118">
        <v>16.2</v>
      </c>
      <c r="G351" s="173">
        <f>1080+270</f>
        <v>1350</v>
      </c>
      <c r="H351" s="173"/>
      <c r="I351" s="34"/>
      <c r="J351" s="5"/>
      <c r="K351" s="5"/>
    </row>
    <row r="352" spans="1:11" ht="15" customHeight="1">
      <c r="A352" s="375"/>
      <c r="B352" s="343"/>
      <c r="C352" s="139" t="s">
        <v>318</v>
      </c>
      <c r="D352" s="140" t="s">
        <v>74</v>
      </c>
      <c r="E352" s="173">
        <f>7310+3570</f>
        <v>10880</v>
      </c>
      <c r="F352" s="118">
        <v>69.44</v>
      </c>
      <c r="G352" s="173">
        <f>7310+3570</f>
        <v>10880</v>
      </c>
      <c r="H352" s="173"/>
      <c r="I352" s="34"/>
      <c r="J352" s="5"/>
      <c r="K352" s="5"/>
    </row>
    <row r="353" spans="1:11" ht="15" customHeight="1" thickBot="1">
      <c r="A353" s="376"/>
      <c r="B353" s="344"/>
      <c r="C353" s="142" t="s">
        <v>319</v>
      </c>
      <c r="D353" s="143" t="s">
        <v>74</v>
      </c>
      <c r="E353" s="201">
        <f>1290+630</f>
        <v>1920</v>
      </c>
      <c r="F353" s="118">
        <v>12.26</v>
      </c>
      <c r="G353" s="201">
        <f>1290+630</f>
        <v>1920</v>
      </c>
      <c r="H353" s="201"/>
      <c r="I353" s="34"/>
      <c r="J353" s="5"/>
      <c r="K353" s="5"/>
    </row>
    <row r="354" spans="1:11" ht="15" customHeight="1" thickBot="1">
      <c r="A354" s="215" t="s">
        <v>106</v>
      </c>
      <c r="B354" s="157"/>
      <c r="C354" s="216"/>
      <c r="D354" s="51" t="s">
        <v>105</v>
      </c>
      <c r="E354" s="194">
        <f>E355+E357+E361+E366+E384</f>
        <v>1310200</v>
      </c>
      <c r="F354" s="218" t="e">
        <f>F355+F357+F361+F366+F384</f>
        <v>#REF!</v>
      </c>
      <c r="G354" s="194">
        <f>G355+G357+G361+G366+G384</f>
        <v>970200</v>
      </c>
      <c r="H354" s="194">
        <f>H355+H357+H361+H366+H384</f>
        <v>340000</v>
      </c>
      <c r="I354" s="34"/>
      <c r="J354" s="5"/>
      <c r="K354" s="5"/>
    </row>
    <row r="355" spans="1:11" ht="15" customHeight="1" thickBot="1">
      <c r="A355" s="365"/>
      <c r="B355" s="325" t="s">
        <v>104</v>
      </c>
      <c r="C355" s="219"/>
      <c r="D355" s="152" t="s">
        <v>103</v>
      </c>
      <c r="E355" s="220">
        <f>SUM(E356)</f>
        <v>200000</v>
      </c>
      <c r="F355" s="145">
        <f>SUM(F356)</f>
        <v>0</v>
      </c>
      <c r="G355" s="220">
        <f>SUM(G356)</f>
        <v>0</v>
      </c>
      <c r="H355" s="220">
        <f>SUM(H356)</f>
        <v>200000</v>
      </c>
      <c r="I355" s="34"/>
      <c r="J355" s="5"/>
      <c r="K355" s="5"/>
    </row>
    <row r="356" spans="1:11" ht="45" customHeight="1" thickBot="1">
      <c r="A356" s="366"/>
      <c r="B356" s="322"/>
      <c r="C356" s="221" t="s">
        <v>102</v>
      </c>
      <c r="D356" s="55" t="s">
        <v>357</v>
      </c>
      <c r="E356" s="222">
        <v>200000</v>
      </c>
      <c r="F356" s="128"/>
      <c r="G356" s="222"/>
      <c r="H356" s="222">
        <v>200000</v>
      </c>
      <c r="I356" s="34"/>
      <c r="J356" s="5"/>
      <c r="K356" s="5"/>
    </row>
    <row r="357" spans="1:11" ht="15" customHeight="1" thickBot="1">
      <c r="A357" s="366"/>
      <c r="B357" s="49" t="s">
        <v>101</v>
      </c>
      <c r="C357" s="109"/>
      <c r="D357" s="51" t="s">
        <v>100</v>
      </c>
      <c r="E357" s="194">
        <f>E358+E360</f>
        <v>480000</v>
      </c>
      <c r="F357" s="145" t="e">
        <f>F358+F359+#REF!</f>
        <v>#REF!</v>
      </c>
      <c r="G357" s="194">
        <f>G358+G360</f>
        <v>340000</v>
      </c>
      <c r="H357" s="194">
        <f>H358+H360</f>
        <v>140000</v>
      </c>
      <c r="I357" s="34"/>
      <c r="J357" s="5"/>
      <c r="K357" s="5"/>
    </row>
    <row r="358" spans="1:11" ht="30" customHeight="1">
      <c r="A358" s="366"/>
      <c r="B358" s="342"/>
      <c r="C358" s="136" t="s">
        <v>99</v>
      </c>
      <c r="D358" s="137" t="s">
        <v>98</v>
      </c>
      <c r="E358" s="223">
        <f>220000+120000</f>
        <v>340000</v>
      </c>
      <c r="F358" s="202">
        <v>97334.75</v>
      </c>
      <c r="G358" s="223">
        <f>220000+120000</f>
        <v>340000</v>
      </c>
      <c r="H358" s="223"/>
      <c r="I358" s="34"/>
      <c r="J358" s="5"/>
      <c r="K358" s="5"/>
    </row>
    <row r="359" spans="1:11" ht="15" customHeight="1">
      <c r="A359" s="366"/>
      <c r="B359" s="343"/>
      <c r="C359" s="123" t="s">
        <v>34</v>
      </c>
      <c r="D359" s="62" t="s">
        <v>14</v>
      </c>
      <c r="E359" s="223">
        <f>E360</f>
        <v>140000</v>
      </c>
      <c r="F359" s="86"/>
      <c r="G359" s="223"/>
      <c r="H359" s="223">
        <f>H360</f>
        <v>140000</v>
      </c>
      <c r="I359" s="34"/>
      <c r="J359" s="5"/>
      <c r="K359" s="5"/>
    </row>
    <row r="360" spans="1:11" ht="30" customHeight="1" thickBot="1">
      <c r="A360" s="366"/>
      <c r="B360" s="344"/>
      <c r="C360" s="123"/>
      <c r="D360" s="224" t="s">
        <v>372</v>
      </c>
      <c r="E360" s="225">
        <f>SUM(G360:H360)</f>
        <v>140000</v>
      </c>
      <c r="F360" s="86"/>
      <c r="G360" s="225"/>
      <c r="H360" s="225">
        <v>140000</v>
      </c>
      <c r="I360" s="34"/>
      <c r="J360" s="5"/>
      <c r="K360" s="5"/>
    </row>
    <row r="361" spans="1:11" ht="15" customHeight="1" thickBot="1">
      <c r="A361" s="366"/>
      <c r="B361" s="49" t="s">
        <v>97</v>
      </c>
      <c r="C361" s="109"/>
      <c r="D361" s="226" t="s">
        <v>96</v>
      </c>
      <c r="E361" s="52">
        <f>SUM(E362:E365)</f>
        <v>16000</v>
      </c>
      <c r="F361" s="127">
        <f>SUM(F362:F365)</f>
        <v>7180</v>
      </c>
      <c r="G361" s="52">
        <f>SUM(G362:G365)</f>
        <v>16000</v>
      </c>
      <c r="H361" s="52">
        <f>SUM(H362:H365)</f>
        <v>0</v>
      </c>
      <c r="I361" s="34"/>
      <c r="J361" s="5"/>
      <c r="K361" s="5"/>
    </row>
    <row r="362" spans="1:11" ht="15" customHeight="1">
      <c r="A362" s="366"/>
      <c r="B362" s="342"/>
      <c r="C362" s="123" t="s">
        <v>83</v>
      </c>
      <c r="D362" s="62" t="s">
        <v>95</v>
      </c>
      <c r="E362" s="138">
        <f>13000</f>
        <v>13000</v>
      </c>
      <c r="F362" s="86">
        <v>6440</v>
      </c>
      <c r="G362" s="138">
        <f>13000</f>
        <v>13000</v>
      </c>
      <c r="H362" s="138"/>
      <c r="I362" s="34">
        <f>G362</f>
        <v>13000</v>
      </c>
      <c r="J362" s="5"/>
      <c r="K362" s="5"/>
    </row>
    <row r="363" spans="1:11" ht="15" customHeight="1">
      <c r="A363" s="366"/>
      <c r="B363" s="343"/>
      <c r="C363" s="123" t="s">
        <v>30</v>
      </c>
      <c r="D363" s="137" t="s">
        <v>29</v>
      </c>
      <c r="E363" s="138">
        <f>1000</f>
        <v>1000</v>
      </c>
      <c r="F363" s="86"/>
      <c r="G363" s="138">
        <f>1000</f>
        <v>1000</v>
      </c>
      <c r="H363" s="138"/>
      <c r="I363" s="34"/>
      <c r="J363" s="5"/>
      <c r="K363" s="5"/>
    </row>
    <row r="364" spans="1:11" ht="15" customHeight="1">
      <c r="A364" s="366"/>
      <c r="B364" s="343"/>
      <c r="C364" s="136" t="s">
        <v>75</v>
      </c>
      <c r="D364" s="137" t="s">
        <v>74</v>
      </c>
      <c r="E364" s="138">
        <f>1000</f>
        <v>1000</v>
      </c>
      <c r="F364" s="86"/>
      <c r="G364" s="138">
        <f>1000</f>
        <v>1000</v>
      </c>
      <c r="H364" s="138"/>
      <c r="I364" s="34"/>
      <c r="J364" s="5"/>
      <c r="K364" s="5"/>
    </row>
    <row r="365" spans="1:11" ht="15" customHeight="1" thickBot="1">
      <c r="A365" s="366"/>
      <c r="B365" s="344"/>
      <c r="C365" s="159" t="s">
        <v>71</v>
      </c>
      <c r="D365" s="160" t="s">
        <v>70</v>
      </c>
      <c r="E365" s="161">
        <f>1000</f>
        <v>1000</v>
      </c>
      <c r="F365" s="227">
        <v>740</v>
      </c>
      <c r="G365" s="161">
        <f>1000</f>
        <v>1000</v>
      </c>
      <c r="H365" s="161"/>
      <c r="I365" s="34"/>
      <c r="J365" s="5"/>
      <c r="K365" s="5"/>
    </row>
    <row r="366" spans="1:11" ht="15" customHeight="1" thickBot="1">
      <c r="A366" s="366"/>
      <c r="B366" s="49" t="s">
        <v>94</v>
      </c>
      <c r="C366" s="109"/>
      <c r="D366" s="51" t="s">
        <v>93</v>
      </c>
      <c r="E366" s="52">
        <f>SUM(E367:E383)</f>
        <v>589200</v>
      </c>
      <c r="F366" s="127">
        <f>SUM(F367:F383)</f>
        <v>449788.38999999996</v>
      </c>
      <c r="G366" s="52">
        <f>SUM(G367:G383)</f>
        <v>589200</v>
      </c>
      <c r="H366" s="52">
        <f>SUM(H367:H383)</f>
        <v>0</v>
      </c>
      <c r="I366" s="34"/>
      <c r="J366" s="5"/>
      <c r="K366" s="5"/>
    </row>
    <row r="367" spans="1:11" ht="15" customHeight="1">
      <c r="A367" s="366"/>
      <c r="B367" s="334"/>
      <c r="C367" s="136" t="s">
        <v>92</v>
      </c>
      <c r="D367" s="137" t="s">
        <v>91</v>
      </c>
      <c r="E367" s="138">
        <v>3800</v>
      </c>
      <c r="F367" s="118">
        <v>1145.44</v>
      </c>
      <c r="G367" s="138">
        <v>3800</v>
      </c>
      <c r="H367" s="138"/>
      <c r="I367" s="34"/>
      <c r="J367" s="5"/>
      <c r="K367" s="5"/>
    </row>
    <row r="368" spans="1:11" ht="15" customHeight="1">
      <c r="A368" s="366"/>
      <c r="B368" s="335"/>
      <c r="C368" s="139" t="s">
        <v>90</v>
      </c>
      <c r="D368" s="140" t="s">
        <v>89</v>
      </c>
      <c r="E368" s="141">
        <f>296000</f>
        <v>296000</v>
      </c>
      <c r="F368" s="118">
        <v>219711.99</v>
      </c>
      <c r="G368" s="141">
        <f>296000</f>
        <v>296000</v>
      </c>
      <c r="H368" s="141"/>
      <c r="I368" s="34">
        <f>G368</f>
        <v>296000</v>
      </c>
      <c r="J368" s="5"/>
      <c r="K368" s="5"/>
    </row>
    <row r="369" spans="1:11" ht="15" customHeight="1">
      <c r="A369" s="366"/>
      <c r="B369" s="335"/>
      <c r="C369" s="139" t="s">
        <v>88</v>
      </c>
      <c r="D369" s="140" t="s">
        <v>87</v>
      </c>
      <c r="E369" s="141">
        <v>25100</v>
      </c>
      <c r="F369" s="86">
        <v>20569.34</v>
      </c>
      <c r="G369" s="141">
        <v>25100</v>
      </c>
      <c r="H369" s="141"/>
      <c r="I369" s="34">
        <f>G369</f>
        <v>25100</v>
      </c>
      <c r="J369" s="5"/>
      <c r="K369" s="5"/>
    </row>
    <row r="370" spans="1:11" ht="15" customHeight="1">
      <c r="A370" s="366"/>
      <c r="B370" s="335"/>
      <c r="C370" s="139" t="s">
        <v>4</v>
      </c>
      <c r="D370" s="140" t="s">
        <v>86</v>
      </c>
      <c r="E370" s="141">
        <v>51000</v>
      </c>
      <c r="F370" s="118">
        <v>37319.370000000003</v>
      </c>
      <c r="G370" s="141">
        <v>51000</v>
      </c>
      <c r="H370" s="141"/>
      <c r="I370" s="34">
        <f>G370</f>
        <v>51000</v>
      </c>
      <c r="J370" s="5"/>
      <c r="K370" s="5"/>
    </row>
    <row r="371" spans="1:11" ht="15" customHeight="1">
      <c r="A371" s="366"/>
      <c r="B371" s="335"/>
      <c r="C371" s="136" t="s">
        <v>85</v>
      </c>
      <c r="D371" s="137" t="s">
        <v>84</v>
      </c>
      <c r="E371" s="138">
        <v>7800</v>
      </c>
      <c r="F371" s="86">
        <v>4727.45</v>
      </c>
      <c r="G371" s="138">
        <v>7800</v>
      </c>
      <c r="H371" s="138"/>
      <c r="I371" s="34">
        <f>G371</f>
        <v>7800</v>
      </c>
      <c r="J371" s="5"/>
      <c r="K371" s="5"/>
    </row>
    <row r="372" spans="1:11" ht="15" customHeight="1">
      <c r="A372" s="366"/>
      <c r="B372" s="335"/>
      <c r="C372" s="139" t="s">
        <v>83</v>
      </c>
      <c r="D372" s="140" t="s">
        <v>82</v>
      </c>
      <c r="E372" s="141">
        <v>32000</v>
      </c>
      <c r="F372" s="118">
        <v>38840</v>
      </c>
      <c r="G372" s="141">
        <v>32000</v>
      </c>
      <c r="H372" s="141"/>
      <c r="I372" s="34">
        <f>G372</f>
        <v>32000</v>
      </c>
      <c r="J372" s="5"/>
      <c r="K372" s="5"/>
    </row>
    <row r="373" spans="1:11" ht="15" customHeight="1">
      <c r="A373" s="366"/>
      <c r="B373" s="335"/>
      <c r="C373" s="139" t="s">
        <v>30</v>
      </c>
      <c r="D373" s="140" t="s">
        <v>29</v>
      </c>
      <c r="E373" s="141">
        <v>31000</v>
      </c>
      <c r="F373" s="118">
        <v>12722.72</v>
      </c>
      <c r="G373" s="141">
        <v>31000</v>
      </c>
      <c r="H373" s="141"/>
      <c r="I373" s="34"/>
      <c r="J373" s="5"/>
      <c r="K373" s="5"/>
    </row>
    <row r="374" spans="1:11" ht="15" customHeight="1">
      <c r="A374" s="366"/>
      <c r="B374" s="335"/>
      <c r="C374" s="139" t="s">
        <v>28</v>
      </c>
      <c r="D374" s="140" t="s">
        <v>27</v>
      </c>
      <c r="E374" s="141">
        <v>23000</v>
      </c>
      <c r="F374" s="118">
        <v>17126.66</v>
      </c>
      <c r="G374" s="141">
        <v>23000</v>
      </c>
      <c r="H374" s="141"/>
      <c r="I374" s="34"/>
      <c r="J374" s="5"/>
      <c r="K374" s="5"/>
    </row>
    <row r="375" spans="1:11" ht="15" customHeight="1">
      <c r="A375" s="366"/>
      <c r="B375" s="335"/>
      <c r="C375" s="139" t="s">
        <v>36</v>
      </c>
      <c r="D375" s="140" t="s">
        <v>81</v>
      </c>
      <c r="E375" s="141">
        <v>11600</v>
      </c>
      <c r="F375" s="118">
        <v>2652.3</v>
      </c>
      <c r="G375" s="141">
        <v>11600</v>
      </c>
      <c r="H375" s="141"/>
      <c r="I375" s="34"/>
      <c r="J375" s="5"/>
      <c r="K375" s="5"/>
    </row>
    <row r="376" spans="1:11" ht="15" customHeight="1">
      <c r="A376" s="366"/>
      <c r="B376" s="335"/>
      <c r="C376" s="139" t="s">
        <v>80</v>
      </c>
      <c r="D376" s="140" t="s">
        <v>79</v>
      </c>
      <c r="E376" s="141">
        <v>200</v>
      </c>
      <c r="F376" s="118">
        <v>60</v>
      </c>
      <c r="G376" s="141">
        <v>200</v>
      </c>
      <c r="H376" s="141"/>
      <c r="I376" s="34"/>
      <c r="J376" s="5"/>
      <c r="K376" s="5"/>
    </row>
    <row r="377" spans="1:11" ht="15" customHeight="1">
      <c r="A377" s="366"/>
      <c r="B377" s="335"/>
      <c r="C377" s="139" t="s">
        <v>2</v>
      </c>
      <c r="D377" s="140" t="s">
        <v>26</v>
      </c>
      <c r="E377" s="141">
        <f>SUM(G377)</f>
        <v>80000</v>
      </c>
      <c r="F377" s="118">
        <v>77801.009999999995</v>
      </c>
      <c r="G377" s="141">
        <v>80000</v>
      </c>
      <c r="H377" s="141"/>
      <c r="I377" s="34"/>
      <c r="J377" s="5"/>
      <c r="K377" s="5"/>
    </row>
    <row r="378" spans="1:11" ht="15" customHeight="1">
      <c r="A378" s="366"/>
      <c r="B378" s="335"/>
      <c r="C378" s="136" t="s">
        <v>78</v>
      </c>
      <c r="D378" s="140" t="s">
        <v>77</v>
      </c>
      <c r="E378" s="141">
        <v>1500</v>
      </c>
      <c r="F378" s="118">
        <v>1431.07</v>
      </c>
      <c r="G378" s="141">
        <v>1500</v>
      </c>
      <c r="H378" s="141"/>
      <c r="I378" s="34"/>
      <c r="J378" s="5"/>
      <c r="K378" s="5"/>
    </row>
    <row r="379" spans="1:11" ht="30" customHeight="1">
      <c r="A379" s="366"/>
      <c r="B379" s="335"/>
      <c r="C379" s="136" t="s">
        <v>76</v>
      </c>
      <c r="D379" s="140" t="s">
        <v>324</v>
      </c>
      <c r="E379" s="138">
        <v>5000</v>
      </c>
      <c r="F379" s="86">
        <v>3132.68</v>
      </c>
      <c r="G379" s="138">
        <v>5000</v>
      </c>
      <c r="H379" s="138"/>
      <c r="I379" s="34"/>
      <c r="J379" s="5"/>
      <c r="K379" s="5"/>
    </row>
    <row r="380" spans="1:11" ht="15" customHeight="1">
      <c r="A380" s="366"/>
      <c r="B380" s="335"/>
      <c r="C380" s="136" t="s">
        <v>75</v>
      </c>
      <c r="D380" s="137" t="s">
        <v>74</v>
      </c>
      <c r="E380" s="138">
        <v>6000</v>
      </c>
      <c r="F380" s="86">
        <v>2454.64</v>
      </c>
      <c r="G380" s="138">
        <v>6000</v>
      </c>
      <c r="H380" s="138"/>
      <c r="I380" s="34"/>
      <c r="J380" s="5"/>
      <c r="K380" s="5"/>
    </row>
    <row r="381" spans="1:11" ht="15" customHeight="1">
      <c r="A381" s="366"/>
      <c r="B381" s="335"/>
      <c r="C381" s="139" t="s">
        <v>25</v>
      </c>
      <c r="D381" s="140" t="s">
        <v>24</v>
      </c>
      <c r="E381" s="141">
        <v>3500</v>
      </c>
      <c r="F381" s="86">
        <v>2405.5</v>
      </c>
      <c r="G381" s="141">
        <v>3500</v>
      </c>
      <c r="H381" s="141"/>
      <c r="I381" s="34"/>
      <c r="J381" s="5"/>
      <c r="K381" s="5"/>
    </row>
    <row r="382" spans="1:11" ht="15" customHeight="1">
      <c r="A382" s="366"/>
      <c r="B382" s="335"/>
      <c r="C382" s="159" t="s">
        <v>73</v>
      </c>
      <c r="D382" s="160" t="s">
        <v>72</v>
      </c>
      <c r="E382" s="161">
        <v>6700</v>
      </c>
      <c r="F382" s="86">
        <v>6700</v>
      </c>
      <c r="G382" s="161">
        <v>6700</v>
      </c>
      <c r="H382" s="161"/>
      <c r="I382" s="34"/>
      <c r="J382" s="5"/>
      <c r="K382" s="5"/>
    </row>
    <row r="383" spans="1:11" ht="15" customHeight="1" thickBot="1">
      <c r="A383" s="366"/>
      <c r="B383" s="336"/>
      <c r="C383" s="139" t="s">
        <v>71</v>
      </c>
      <c r="D383" s="140" t="s">
        <v>70</v>
      </c>
      <c r="E383" s="141">
        <v>5000</v>
      </c>
      <c r="F383" s="118">
        <v>988.22</v>
      </c>
      <c r="G383" s="141">
        <v>5000</v>
      </c>
      <c r="H383" s="141"/>
      <c r="I383" s="34"/>
      <c r="J383" s="5"/>
      <c r="K383" s="5"/>
    </row>
    <row r="384" spans="1:11" ht="15" customHeight="1" thickBot="1">
      <c r="A384" s="366"/>
      <c r="B384" s="49" t="s">
        <v>67</v>
      </c>
      <c r="C384" s="228"/>
      <c r="D384" s="149" t="s">
        <v>11</v>
      </c>
      <c r="E384" s="52">
        <f>SUM(E385:E385)</f>
        <v>25000</v>
      </c>
      <c r="F384" s="127">
        <f>SUM(F385:F385)</f>
        <v>9500</v>
      </c>
      <c r="G384" s="52">
        <f>SUM(G385:G385)</f>
        <v>25000</v>
      </c>
      <c r="H384" s="52">
        <f>SUM(H385:H385)</f>
        <v>0</v>
      </c>
      <c r="I384" s="34"/>
      <c r="J384" s="5"/>
      <c r="K384" s="5"/>
    </row>
    <row r="385" spans="1:11" ht="45" customHeight="1" thickBot="1">
      <c r="A385" s="367"/>
      <c r="B385" s="317"/>
      <c r="C385" s="142" t="s">
        <v>10</v>
      </c>
      <c r="D385" s="143" t="s">
        <v>59</v>
      </c>
      <c r="E385" s="144">
        <v>25000</v>
      </c>
      <c r="F385" s="122">
        <v>9500</v>
      </c>
      <c r="G385" s="144">
        <v>25000</v>
      </c>
      <c r="H385" s="144"/>
      <c r="I385" s="34"/>
      <c r="J385" s="5"/>
      <c r="K385" s="5"/>
    </row>
    <row r="386" spans="1:11" ht="15" customHeight="1" thickBot="1">
      <c r="A386" s="132" t="s">
        <v>66</v>
      </c>
      <c r="B386" s="133"/>
      <c r="C386" s="134"/>
      <c r="D386" s="150" t="s">
        <v>65</v>
      </c>
      <c r="E386" s="135">
        <f>SUM(E389+E408+E410+E413+E415+E417+E437+E447+E388)</f>
        <v>11475202</v>
      </c>
      <c r="F386" s="127" t="e">
        <f>SUM(F389+F408+F410+F413+F415+F417+F437+#REF!+F447+F388)</f>
        <v>#REF!</v>
      </c>
      <c r="G386" s="135">
        <f>SUM(G389+G408+G410+G413+G415+G417+G437+G447+G388)</f>
        <v>11475202</v>
      </c>
      <c r="H386" s="135">
        <f>SUM(H389+H408+H410+H413+H415+H417+H437+H447+H388)</f>
        <v>0</v>
      </c>
      <c r="I386" s="34"/>
      <c r="J386" s="5"/>
      <c r="K386" s="5"/>
    </row>
    <row r="387" spans="1:11" ht="15" customHeight="1" thickBot="1">
      <c r="A387" s="337"/>
      <c r="B387" s="229" t="s">
        <v>280</v>
      </c>
      <c r="C387" s="230"/>
      <c r="D387" s="152" t="s">
        <v>281</v>
      </c>
      <c r="E387" s="153">
        <f>SUM(E388)</f>
        <v>410000</v>
      </c>
      <c r="F387" s="145">
        <f>SUM(F388)</f>
        <v>289325.65999999997</v>
      </c>
      <c r="G387" s="153">
        <f>SUM(G388)</f>
        <v>410000</v>
      </c>
      <c r="H387" s="153">
        <f>SUM(H388)</f>
        <v>0</v>
      </c>
      <c r="I387" s="34"/>
      <c r="J387" s="5"/>
      <c r="K387" s="5"/>
    </row>
    <row r="388" spans="1:11" ht="30" customHeight="1" thickBot="1">
      <c r="A388" s="338"/>
      <c r="B388" s="324"/>
      <c r="C388" s="231" t="s">
        <v>232</v>
      </c>
      <c r="D388" s="160" t="s">
        <v>233</v>
      </c>
      <c r="E388" s="232">
        <f>G388</f>
        <v>410000</v>
      </c>
      <c r="F388" s="233">
        <v>289325.65999999997</v>
      </c>
      <c r="G388" s="232">
        <f>460000-50000</f>
        <v>410000</v>
      </c>
      <c r="H388" s="232"/>
      <c r="I388" s="34"/>
      <c r="J388" s="5"/>
      <c r="K388" s="5"/>
    </row>
    <row r="389" spans="1:11" ht="45" customHeight="1" thickBot="1">
      <c r="A389" s="338"/>
      <c r="B389" s="157" t="s">
        <v>223</v>
      </c>
      <c r="C389" s="158"/>
      <c r="D389" s="51" t="s">
        <v>387</v>
      </c>
      <c r="E389" s="52">
        <f>SUM(E390:E407)</f>
        <v>6118000</v>
      </c>
      <c r="F389" s="127">
        <f>SUM(F390:F407)</f>
        <v>4776529.040000001</v>
      </c>
      <c r="G389" s="52">
        <f>SUM(G390:G407)</f>
        <v>6118000</v>
      </c>
      <c r="H389" s="52">
        <f>SUM(H390:H407)</f>
        <v>0</v>
      </c>
      <c r="I389" s="34"/>
      <c r="J389" s="5"/>
      <c r="K389" s="5"/>
    </row>
    <row r="390" spans="1:11" ht="15" customHeight="1">
      <c r="A390" s="338"/>
      <c r="B390" s="345"/>
      <c r="C390" s="136" t="s">
        <v>62</v>
      </c>
      <c r="D390" s="137" t="s">
        <v>61</v>
      </c>
      <c r="E390" s="138">
        <v>5894460</v>
      </c>
      <c r="F390" s="86">
        <v>4602327.13</v>
      </c>
      <c r="G390" s="138">
        <v>5894460</v>
      </c>
      <c r="H390" s="138"/>
      <c r="I390" s="34"/>
      <c r="J390" s="5"/>
      <c r="K390" s="5"/>
    </row>
    <row r="391" spans="1:11" ht="15" customHeight="1">
      <c r="A391" s="338"/>
      <c r="B391" s="346"/>
      <c r="C391" s="139" t="s">
        <v>90</v>
      </c>
      <c r="D391" s="140" t="s">
        <v>89</v>
      </c>
      <c r="E391" s="141">
        <v>108000</v>
      </c>
      <c r="F391" s="118">
        <v>75915</v>
      </c>
      <c r="G391" s="141">
        <v>108000</v>
      </c>
      <c r="H391" s="141"/>
      <c r="I391" s="34">
        <f>G391</f>
        <v>108000</v>
      </c>
      <c r="J391" s="5"/>
      <c r="K391" s="5"/>
    </row>
    <row r="392" spans="1:11" ht="15" customHeight="1">
      <c r="A392" s="338"/>
      <c r="B392" s="346"/>
      <c r="C392" s="139" t="s">
        <v>88</v>
      </c>
      <c r="D392" s="140" t="s">
        <v>224</v>
      </c>
      <c r="E392" s="141">
        <v>9000</v>
      </c>
      <c r="F392" s="118">
        <v>9000</v>
      </c>
      <c r="G392" s="141">
        <v>9000</v>
      </c>
      <c r="H392" s="141"/>
      <c r="I392" s="34">
        <f>G392</f>
        <v>9000</v>
      </c>
      <c r="J392" s="5"/>
      <c r="K392" s="5"/>
    </row>
    <row r="393" spans="1:11" ht="15" customHeight="1">
      <c r="A393" s="338"/>
      <c r="B393" s="346"/>
      <c r="C393" s="139" t="s">
        <v>4</v>
      </c>
      <c r="D393" s="140" t="s">
        <v>225</v>
      </c>
      <c r="E393" s="141">
        <v>57140</v>
      </c>
      <c r="F393" s="118">
        <v>59386.19</v>
      </c>
      <c r="G393" s="141">
        <v>57140</v>
      </c>
      <c r="H393" s="141"/>
      <c r="I393" s="34">
        <f>G393</f>
        <v>57140</v>
      </c>
      <c r="J393" s="5"/>
      <c r="K393" s="5"/>
    </row>
    <row r="394" spans="1:11" ht="15" customHeight="1">
      <c r="A394" s="338"/>
      <c r="B394" s="346"/>
      <c r="C394" s="139" t="s">
        <v>85</v>
      </c>
      <c r="D394" s="140" t="s">
        <v>84</v>
      </c>
      <c r="E394" s="141">
        <v>3000</v>
      </c>
      <c r="F394" s="118">
        <v>2250</v>
      </c>
      <c r="G394" s="141">
        <v>3000</v>
      </c>
      <c r="H394" s="141"/>
      <c r="I394" s="34">
        <f>G394</f>
        <v>3000</v>
      </c>
      <c r="J394" s="5"/>
      <c r="K394" s="5"/>
    </row>
    <row r="395" spans="1:11" ht="15" customHeight="1">
      <c r="A395" s="338"/>
      <c r="B395" s="346"/>
      <c r="C395" s="136" t="s">
        <v>175</v>
      </c>
      <c r="D395" s="137" t="s">
        <v>174</v>
      </c>
      <c r="E395" s="138">
        <v>6200</v>
      </c>
      <c r="F395" s="86">
        <v>4600</v>
      </c>
      <c r="G395" s="138">
        <v>6200</v>
      </c>
      <c r="H395" s="138"/>
      <c r="I395" s="34"/>
      <c r="J395" s="5"/>
      <c r="K395" s="5"/>
    </row>
    <row r="396" spans="1:11" ht="15" customHeight="1">
      <c r="A396" s="338"/>
      <c r="B396" s="346"/>
      <c r="C396" s="136" t="s">
        <v>83</v>
      </c>
      <c r="D396" s="140" t="s">
        <v>82</v>
      </c>
      <c r="E396" s="138">
        <v>1000</v>
      </c>
      <c r="F396" s="86"/>
      <c r="G396" s="138">
        <v>1000</v>
      </c>
      <c r="H396" s="138"/>
      <c r="I396" s="34">
        <f>G396</f>
        <v>1000</v>
      </c>
      <c r="J396" s="5"/>
      <c r="K396" s="5"/>
    </row>
    <row r="397" spans="1:11" ht="15" customHeight="1">
      <c r="A397" s="338"/>
      <c r="B397" s="346"/>
      <c r="C397" s="139" t="s">
        <v>30</v>
      </c>
      <c r="D397" s="140" t="s">
        <v>29</v>
      </c>
      <c r="E397" s="141">
        <v>16200</v>
      </c>
      <c r="F397" s="118">
        <v>7000</v>
      </c>
      <c r="G397" s="141">
        <v>16200</v>
      </c>
      <c r="H397" s="141"/>
      <c r="I397" s="34"/>
      <c r="J397" s="5"/>
      <c r="K397" s="5"/>
    </row>
    <row r="398" spans="1:11" ht="15" customHeight="1">
      <c r="A398" s="338"/>
      <c r="B398" s="346"/>
      <c r="C398" s="139" t="s">
        <v>28</v>
      </c>
      <c r="D398" s="140" t="s">
        <v>27</v>
      </c>
      <c r="E398" s="141">
        <v>4000</v>
      </c>
      <c r="F398" s="118">
        <v>2250</v>
      </c>
      <c r="G398" s="141">
        <v>4000</v>
      </c>
      <c r="H398" s="141"/>
      <c r="I398" s="34"/>
      <c r="J398" s="5"/>
      <c r="K398" s="5"/>
    </row>
    <row r="399" spans="1:11" ht="15" customHeight="1">
      <c r="A399" s="338"/>
      <c r="B399" s="346"/>
      <c r="C399" s="139" t="s">
        <v>36</v>
      </c>
      <c r="D399" s="140" t="s">
        <v>81</v>
      </c>
      <c r="E399" s="141">
        <v>1500</v>
      </c>
      <c r="F399" s="118">
        <v>750</v>
      </c>
      <c r="G399" s="141">
        <v>1500</v>
      </c>
      <c r="H399" s="141"/>
      <c r="I399" s="34"/>
      <c r="J399" s="5"/>
      <c r="K399" s="5"/>
    </row>
    <row r="400" spans="1:11" ht="15" customHeight="1">
      <c r="A400" s="338"/>
      <c r="B400" s="346"/>
      <c r="C400" s="139" t="s">
        <v>80</v>
      </c>
      <c r="D400" s="140" t="s">
        <v>79</v>
      </c>
      <c r="E400" s="141">
        <v>500</v>
      </c>
      <c r="F400" s="118">
        <v>55</v>
      </c>
      <c r="G400" s="141">
        <v>500</v>
      </c>
      <c r="H400" s="141"/>
      <c r="I400" s="34"/>
      <c r="J400" s="5"/>
      <c r="K400" s="5"/>
    </row>
    <row r="401" spans="1:11" ht="15" customHeight="1">
      <c r="A401" s="338"/>
      <c r="B401" s="346"/>
      <c r="C401" s="139" t="s">
        <v>2</v>
      </c>
      <c r="D401" s="140" t="s">
        <v>1</v>
      </c>
      <c r="E401" s="141">
        <v>7000</v>
      </c>
      <c r="F401" s="118">
        <v>5975.73</v>
      </c>
      <c r="G401" s="141">
        <v>7000</v>
      </c>
      <c r="H401" s="141"/>
      <c r="I401" s="34"/>
      <c r="J401" s="5"/>
      <c r="K401" s="5"/>
    </row>
    <row r="402" spans="1:11" ht="15" customHeight="1">
      <c r="A402" s="338"/>
      <c r="B402" s="346"/>
      <c r="C402" s="139" t="s">
        <v>78</v>
      </c>
      <c r="D402" s="140" t="s">
        <v>77</v>
      </c>
      <c r="E402" s="141">
        <v>1000</v>
      </c>
      <c r="F402" s="118">
        <v>300</v>
      </c>
      <c r="G402" s="141">
        <v>1000</v>
      </c>
      <c r="H402" s="141"/>
      <c r="I402" s="34"/>
      <c r="J402" s="5"/>
      <c r="K402" s="5"/>
    </row>
    <row r="403" spans="1:11" ht="30" customHeight="1">
      <c r="A403" s="338"/>
      <c r="B403" s="346"/>
      <c r="C403" s="136" t="s">
        <v>76</v>
      </c>
      <c r="D403" s="140" t="s">
        <v>324</v>
      </c>
      <c r="E403" s="138">
        <v>3000</v>
      </c>
      <c r="F403" s="86">
        <v>2219.9899999999998</v>
      </c>
      <c r="G403" s="138">
        <v>3000</v>
      </c>
      <c r="H403" s="138"/>
      <c r="I403" s="34"/>
      <c r="J403" s="5"/>
      <c r="K403" s="5"/>
    </row>
    <row r="404" spans="1:11" ht="15" customHeight="1">
      <c r="A404" s="338"/>
      <c r="B404" s="346"/>
      <c r="C404" s="136" t="s">
        <v>75</v>
      </c>
      <c r="D404" s="137" t="s">
        <v>226</v>
      </c>
      <c r="E404" s="138">
        <v>500</v>
      </c>
      <c r="F404" s="86"/>
      <c r="G404" s="138">
        <v>500</v>
      </c>
      <c r="H404" s="138"/>
      <c r="I404" s="34"/>
      <c r="J404" s="5"/>
      <c r="K404" s="5"/>
    </row>
    <row r="405" spans="1:11" ht="15" customHeight="1">
      <c r="A405" s="338"/>
      <c r="B405" s="346"/>
      <c r="C405" s="139" t="s">
        <v>25</v>
      </c>
      <c r="D405" s="140" t="s">
        <v>193</v>
      </c>
      <c r="E405" s="141">
        <v>500</v>
      </c>
      <c r="F405" s="118">
        <v>500</v>
      </c>
      <c r="G405" s="141">
        <v>500</v>
      </c>
      <c r="H405" s="141"/>
      <c r="I405" s="34"/>
      <c r="J405" s="5"/>
      <c r="K405" s="5"/>
    </row>
    <row r="406" spans="1:11" ht="15" customHeight="1">
      <c r="A406" s="338"/>
      <c r="B406" s="346"/>
      <c r="C406" s="139" t="s">
        <v>73</v>
      </c>
      <c r="D406" s="140" t="s">
        <v>72</v>
      </c>
      <c r="E406" s="141">
        <v>4000</v>
      </c>
      <c r="F406" s="118">
        <v>4000</v>
      </c>
      <c r="G406" s="141">
        <v>4000</v>
      </c>
      <c r="H406" s="141"/>
      <c r="I406" s="34"/>
      <c r="J406" s="5"/>
      <c r="K406" s="5"/>
    </row>
    <row r="407" spans="1:11" ht="15" customHeight="1" thickBot="1">
      <c r="A407" s="338"/>
      <c r="B407" s="347"/>
      <c r="C407" s="136" t="s">
        <v>71</v>
      </c>
      <c r="D407" s="137" t="s">
        <v>70</v>
      </c>
      <c r="E407" s="138">
        <v>1000</v>
      </c>
      <c r="F407" s="86">
        <v>0</v>
      </c>
      <c r="G407" s="138">
        <v>1000</v>
      </c>
      <c r="H407" s="138"/>
      <c r="I407" s="34"/>
      <c r="J407" s="5"/>
      <c r="K407" s="5"/>
    </row>
    <row r="408" spans="1:11" ht="60" customHeight="1" thickBot="1">
      <c r="A408" s="338"/>
      <c r="B408" s="49" t="s">
        <v>227</v>
      </c>
      <c r="C408" s="109"/>
      <c r="D408" s="51" t="s">
        <v>390</v>
      </c>
      <c r="E408" s="52">
        <f>SUM(E409)</f>
        <v>47600</v>
      </c>
      <c r="F408" s="127">
        <f>SUM(F409)</f>
        <v>37644.44</v>
      </c>
      <c r="G408" s="52">
        <f>SUM(G409)</f>
        <v>47600</v>
      </c>
      <c r="H408" s="52">
        <f>SUM(H409)</f>
        <v>0</v>
      </c>
      <c r="I408" s="34"/>
      <c r="J408" s="5"/>
      <c r="K408" s="5"/>
    </row>
    <row r="409" spans="1:11" ht="15" customHeight="1" thickBot="1">
      <c r="A409" s="338"/>
      <c r="B409" s="323"/>
      <c r="C409" s="159" t="s">
        <v>228</v>
      </c>
      <c r="D409" s="160" t="s">
        <v>229</v>
      </c>
      <c r="E409" s="161">
        <v>47600</v>
      </c>
      <c r="F409" s="57">
        <v>37644.44</v>
      </c>
      <c r="G409" s="161">
        <v>47600</v>
      </c>
      <c r="H409" s="161"/>
      <c r="I409" s="34"/>
      <c r="J409" s="5"/>
      <c r="K409" s="5"/>
    </row>
    <row r="410" spans="1:11" ht="30" customHeight="1" thickBot="1">
      <c r="A410" s="338"/>
      <c r="B410" s="49" t="s">
        <v>230</v>
      </c>
      <c r="C410" s="109"/>
      <c r="D410" s="51" t="s">
        <v>231</v>
      </c>
      <c r="E410" s="52">
        <f>SUM(E411:E412)</f>
        <v>810000</v>
      </c>
      <c r="F410" s="127">
        <f>SUM(F411:F412)</f>
        <v>603765.37</v>
      </c>
      <c r="G410" s="52">
        <f>SUM(G411:G412)</f>
        <v>810000</v>
      </c>
      <c r="H410" s="52">
        <f>SUM(H411:H412)</f>
        <v>0</v>
      </c>
      <c r="I410" s="34"/>
      <c r="J410" s="5"/>
      <c r="K410" s="5"/>
    </row>
    <row r="411" spans="1:11" ht="15" customHeight="1">
      <c r="A411" s="338"/>
      <c r="B411" s="342"/>
      <c r="C411" s="136" t="s">
        <v>62</v>
      </c>
      <c r="D411" s="137" t="s">
        <v>61</v>
      </c>
      <c r="E411" s="138">
        <f>360000+422000</f>
        <v>782000</v>
      </c>
      <c r="F411" s="86">
        <v>586665.37</v>
      </c>
      <c r="G411" s="138">
        <f>360000+422000</f>
        <v>782000</v>
      </c>
      <c r="H411" s="138"/>
      <c r="I411" s="34"/>
      <c r="J411" s="5"/>
      <c r="K411" s="5"/>
    </row>
    <row r="412" spans="1:11" ht="15" customHeight="1" thickBot="1">
      <c r="A412" s="338"/>
      <c r="B412" s="343"/>
      <c r="C412" s="139" t="s">
        <v>272</v>
      </c>
      <c r="D412" s="137" t="s">
        <v>61</v>
      </c>
      <c r="E412" s="141">
        <v>28000</v>
      </c>
      <c r="F412" s="118">
        <v>17100</v>
      </c>
      <c r="G412" s="141">
        <v>28000</v>
      </c>
      <c r="H412" s="141"/>
      <c r="I412" s="34"/>
      <c r="J412" s="5"/>
      <c r="K412" s="5"/>
    </row>
    <row r="413" spans="1:11" ht="15" customHeight="1" thickBot="1">
      <c r="A413" s="338"/>
      <c r="B413" s="49" t="s">
        <v>64</v>
      </c>
      <c r="C413" s="109"/>
      <c r="D413" s="51" t="s">
        <v>63</v>
      </c>
      <c r="E413" s="52">
        <f>SUM(E414)</f>
        <v>650000</v>
      </c>
      <c r="F413" s="127">
        <f>SUM(F414)</f>
        <v>465618.6</v>
      </c>
      <c r="G413" s="52">
        <f>SUM(G414)</f>
        <v>650000</v>
      </c>
      <c r="H413" s="52">
        <f>SUM(H414)</f>
        <v>0</v>
      </c>
      <c r="I413" s="34"/>
      <c r="J413" s="5"/>
      <c r="K413" s="5"/>
    </row>
    <row r="414" spans="1:11" ht="15" customHeight="1" thickBot="1">
      <c r="A414" s="338"/>
      <c r="B414" s="319"/>
      <c r="C414" s="136" t="s">
        <v>62</v>
      </c>
      <c r="D414" s="137" t="s">
        <v>61</v>
      </c>
      <c r="E414" s="138">
        <v>650000</v>
      </c>
      <c r="F414" s="86">
        <v>465618.6</v>
      </c>
      <c r="G414" s="138">
        <v>650000</v>
      </c>
      <c r="H414" s="138"/>
      <c r="I414" s="34"/>
      <c r="J414" s="5"/>
      <c r="K414" s="5"/>
    </row>
    <row r="415" spans="1:11" ht="15" customHeight="1" thickBot="1">
      <c r="A415" s="338"/>
      <c r="B415" s="49" t="s">
        <v>289</v>
      </c>
      <c r="C415" s="109"/>
      <c r="D415" s="51" t="s">
        <v>290</v>
      </c>
      <c r="E415" s="52">
        <f>SUM(E416)</f>
        <v>383000</v>
      </c>
      <c r="F415" s="127">
        <f>SUM(F416)</f>
        <v>353050</v>
      </c>
      <c r="G415" s="52">
        <f>SUM(G416)</f>
        <v>383000</v>
      </c>
      <c r="H415" s="52">
        <f>SUM(H416)</f>
        <v>0</v>
      </c>
      <c r="I415" s="34"/>
      <c r="J415" s="5"/>
      <c r="K415" s="5"/>
    </row>
    <row r="416" spans="1:11" ht="15" customHeight="1" thickBot="1">
      <c r="A416" s="338"/>
      <c r="B416" s="319"/>
      <c r="C416" s="159" t="s">
        <v>62</v>
      </c>
      <c r="D416" s="160" t="s">
        <v>61</v>
      </c>
      <c r="E416" s="161">
        <v>383000</v>
      </c>
      <c r="F416" s="86">
        <v>353050</v>
      </c>
      <c r="G416" s="161">
        <v>383000</v>
      </c>
      <c r="H416" s="161"/>
      <c r="I416" s="34"/>
      <c r="J416" s="5"/>
      <c r="K416" s="5"/>
    </row>
    <row r="417" spans="1:11" ht="15" customHeight="1" thickBot="1">
      <c r="A417" s="338"/>
      <c r="B417" s="49" t="s">
        <v>234</v>
      </c>
      <c r="C417" s="158"/>
      <c r="D417" s="51" t="s">
        <v>235</v>
      </c>
      <c r="E417" s="52">
        <f>SUM(E418:E436)</f>
        <v>2125350</v>
      </c>
      <c r="F417" s="145">
        <f>SUM(F418:F436)</f>
        <v>1438830.99</v>
      </c>
      <c r="G417" s="52">
        <f>SUM(G418:G436)</f>
        <v>2125350</v>
      </c>
      <c r="H417" s="52">
        <f>SUM(H418:H436)</f>
        <v>0</v>
      </c>
      <c r="I417" s="34"/>
      <c r="J417" s="5"/>
      <c r="K417" s="5"/>
    </row>
    <row r="418" spans="1:11" ht="15" customHeight="1">
      <c r="A418" s="338"/>
      <c r="B418" s="345"/>
      <c r="C418" s="136" t="s">
        <v>92</v>
      </c>
      <c r="D418" s="137" t="s">
        <v>91</v>
      </c>
      <c r="E418" s="138">
        <v>4300</v>
      </c>
      <c r="F418" s="66"/>
      <c r="G418" s="138">
        <v>4300</v>
      </c>
      <c r="H418" s="138"/>
      <c r="I418" s="34"/>
      <c r="J418" s="5"/>
      <c r="K418" s="5"/>
    </row>
    <row r="419" spans="1:11" ht="15" customHeight="1">
      <c r="A419" s="338"/>
      <c r="B419" s="346"/>
      <c r="C419" s="136" t="s">
        <v>90</v>
      </c>
      <c r="D419" s="137" t="s">
        <v>89</v>
      </c>
      <c r="E419" s="138">
        <v>1385650</v>
      </c>
      <c r="F419" s="64">
        <v>953779.08</v>
      </c>
      <c r="G419" s="138">
        <v>1385650</v>
      </c>
      <c r="H419" s="138"/>
      <c r="I419" s="34">
        <f>G419</f>
        <v>1385650</v>
      </c>
      <c r="J419" s="5"/>
      <c r="K419" s="5"/>
    </row>
    <row r="420" spans="1:11" ht="15" customHeight="1">
      <c r="A420" s="338"/>
      <c r="B420" s="346"/>
      <c r="C420" s="136" t="s">
        <v>88</v>
      </c>
      <c r="D420" s="137" t="s">
        <v>87</v>
      </c>
      <c r="E420" s="141">
        <v>120000</v>
      </c>
      <c r="F420" s="66">
        <v>96533.71</v>
      </c>
      <c r="G420" s="141">
        <v>120000</v>
      </c>
      <c r="H420" s="141"/>
      <c r="I420" s="34">
        <f>G420</f>
        <v>120000</v>
      </c>
      <c r="J420" s="5"/>
      <c r="K420" s="5"/>
    </row>
    <row r="421" spans="1:11" ht="16.5" customHeight="1">
      <c r="A421" s="338"/>
      <c r="B421" s="346"/>
      <c r="C421" s="139" t="s">
        <v>4</v>
      </c>
      <c r="D421" s="140" t="s">
        <v>135</v>
      </c>
      <c r="E421" s="141">
        <v>238700</v>
      </c>
      <c r="F421" s="66">
        <v>162355.63</v>
      </c>
      <c r="G421" s="141">
        <v>238700</v>
      </c>
      <c r="H421" s="141"/>
      <c r="I421" s="34">
        <f>G421</f>
        <v>238700</v>
      </c>
      <c r="J421" s="5"/>
      <c r="K421" s="5"/>
    </row>
    <row r="422" spans="1:11" ht="16.5" customHeight="1">
      <c r="A422" s="338"/>
      <c r="B422" s="346"/>
      <c r="C422" s="136" t="s">
        <v>85</v>
      </c>
      <c r="D422" s="137" t="s">
        <v>84</v>
      </c>
      <c r="E422" s="138">
        <v>37800</v>
      </c>
      <c r="F422" s="64">
        <v>19820.849999999999</v>
      </c>
      <c r="G422" s="138">
        <v>37800</v>
      </c>
      <c r="H422" s="138"/>
      <c r="I422" s="34">
        <f>G422</f>
        <v>37800</v>
      </c>
      <c r="J422" s="5"/>
      <c r="K422" s="5"/>
    </row>
    <row r="423" spans="1:11" ht="15" customHeight="1">
      <c r="A423" s="338"/>
      <c r="B423" s="346"/>
      <c r="C423" s="136" t="s">
        <v>175</v>
      </c>
      <c r="D423" s="137" t="s">
        <v>174</v>
      </c>
      <c r="E423" s="138">
        <v>42500</v>
      </c>
      <c r="F423" s="64">
        <v>33256</v>
      </c>
      <c r="G423" s="138">
        <v>42500</v>
      </c>
      <c r="H423" s="138"/>
      <c r="I423" s="34"/>
      <c r="J423" s="5"/>
      <c r="K423" s="5"/>
    </row>
    <row r="424" spans="1:11" ht="15" customHeight="1">
      <c r="A424" s="338"/>
      <c r="B424" s="346"/>
      <c r="C424" s="139" t="s">
        <v>83</v>
      </c>
      <c r="D424" s="140" t="s">
        <v>82</v>
      </c>
      <c r="E424" s="141">
        <v>6000</v>
      </c>
      <c r="F424" s="66"/>
      <c r="G424" s="141">
        <v>6000</v>
      </c>
      <c r="H424" s="141"/>
      <c r="I424" s="34">
        <f>G424</f>
        <v>6000</v>
      </c>
      <c r="J424" s="5"/>
      <c r="K424" s="5"/>
    </row>
    <row r="425" spans="1:11" ht="15" customHeight="1">
      <c r="A425" s="338"/>
      <c r="B425" s="346"/>
      <c r="C425" s="139" t="s">
        <v>30</v>
      </c>
      <c r="D425" s="140" t="s">
        <v>29</v>
      </c>
      <c r="E425" s="141">
        <v>56600</v>
      </c>
      <c r="F425" s="66">
        <v>19717</v>
      </c>
      <c r="G425" s="141">
        <v>56600</v>
      </c>
      <c r="H425" s="141"/>
      <c r="I425" s="34"/>
      <c r="J425" s="5"/>
      <c r="K425" s="5"/>
    </row>
    <row r="426" spans="1:11" ht="15" customHeight="1">
      <c r="A426" s="338"/>
      <c r="B426" s="346"/>
      <c r="C426" s="136" t="s">
        <v>28</v>
      </c>
      <c r="D426" s="137" t="s">
        <v>27</v>
      </c>
      <c r="E426" s="138">
        <v>32800</v>
      </c>
      <c r="F426" s="64">
        <v>24965.01</v>
      </c>
      <c r="G426" s="138">
        <v>32800</v>
      </c>
      <c r="H426" s="138"/>
      <c r="I426" s="34"/>
      <c r="J426" s="5"/>
      <c r="K426" s="5"/>
    </row>
    <row r="427" spans="1:11" ht="15" customHeight="1">
      <c r="A427" s="338"/>
      <c r="B427" s="346"/>
      <c r="C427" s="136" t="s">
        <v>36</v>
      </c>
      <c r="D427" s="137" t="s">
        <v>81</v>
      </c>
      <c r="E427" s="141">
        <v>90000</v>
      </c>
      <c r="F427" s="66">
        <v>49075.97</v>
      </c>
      <c r="G427" s="141">
        <v>90000</v>
      </c>
      <c r="H427" s="141"/>
      <c r="I427" s="34"/>
      <c r="J427" s="5"/>
      <c r="K427" s="5"/>
    </row>
    <row r="428" spans="1:11" ht="15" customHeight="1">
      <c r="A428" s="338"/>
      <c r="B428" s="346"/>
      <c r="C428" s="136" t="s">
        <v>80</v>
      </c>
      <c r="D428" s="137" t="s">
        <v>79</v>
      </c>
      <c r="E428" s="138">
        <v>2500</v>
      </c>
      <c r="F428" s="64">
        <v>796</v>
      </c>
      <c r="G428" s="138">
        <v>2500</v>
      </c>
      <c r="H428" s="138"/>
      <c r="I428" s="34"/>
      <c r="J428" s="5"/>
      <c r="K428" s="5"/>
    </row>
    <row r="429" spans="1:11" ht="15" customHeight="1">
      <c r="A429" s="338"/>
      <c r="B429" s="346"/>
      <c r="C429" s="136" t="s">
        <v>2</v>
      </c>
      <c r="D429" s="137" t="s">
        <v>26</v>
      </c>
      <c r="E429" s="138">
        <v>31000</v>
      </c>
      <c r="F429" s="64">
        <v>18734.54</v>
      </c>
      <c r="G429" s="138">
        <v>31000</v>
      </c>
      <c r="H429" s="138"/>
      <c r="I429" s="34"/>
      <c r="J429" s="5"/>
      <c r="K429" s="5"/>
    </row>
    <row r="430" spans="1:11" ht="15" customHeight="1">
      <c r="A430" s="338"/>
      <c r="B430" s="346"/>
      <c r="C430" s="139" t="s">
        <v>78</v>
      </c>
      <c r="D430" s="140" t="s">
        <v>77</v>
      </c>
      <c r="E430" s="141">
        <v>2500</v>
      </c>
      <c r="F430" s="66">
        <v>1164</v>
      </c>
      <c r="G430" s="141">
        <v>2500</v>
      </c>
      <c r="H430" s="141"/>
      <c r="I430" s="34"/>
      <c r="J430" s="5"/>
      <c r="K430" s="5"/>
    </row>
    <row r="431" spans="1:11" ht="30" customHeight="1">
      <c r="A431" s="338"/>
      <c r="B431" s="346"/>
      <c r="C431" s="139" t="s">
        <v>146</v>
      </c>
      <c r="D431" s="140" t="s">
        <v>323</v>
      </c>
      <c r="E431" s="141">
        <v>1000</v>
      </c>
      <c r="F431" s="66">
        <v>504.8</v>
      </c>
      <c r="G431" s="141">
        <v>1000</v>
      </c>
      <c r="H431" s="141"/>
      <c r="I431" s="34"/>
      <c r="J431" s="5"/>
      <c r="K431" s="5"/>
    </row>
    <row r="432" spans="1:11" ht="30" customHeight="1">
      <c r="A432" s="338"/>
      <c r="B432" s="346"/>
      <c r="C432" s="136" t="s">
        <v>76</v>
      </c>
      <c r="D432" s="140" t="s">
        <v>324</v>
      </c>
      <c r="E432" s="138">
        <v>15000</v>
      </c>
      <c r="F432" s="64">
        <v>6804.06</v>
      </c>
      <c r="G432" s="138">
        <v>15000</v>
      </c>
      <c r="H432" s="138"/>
      <c r="I432" s="34"/>
      <c r="J432" s="5"/>
      <c r="K432" s="5"/>
    </row>
    <row r="433" spans="1:11" ht="15" customHeight="1">
      <c r="A433" s="338"/>
      <c r="B433" s="346"/>
      <c r="C433" s="139" t="s">
        <v>75</v>
      </c>
      <c r="D433" s="140" t="s">
        <v>74</v>
      </c>
      <c r="E433" s="141">
        <v>2000</v>
      </c>
      <c r="F433" s="66">
        <v>370.9</v>
      </c>
      <c r="G433" s="141">
        <v>2000</v>
      </c>
      <c r="H433" s="141"/>
      <c r="I433" s="34"/>
      <c r="J433" s="5"/>
      <c r="K433" s="5"/>
    </row>
    <row r="434" spans="1:11" ht="15" customHeight="1">
      <c r="A434" s="338"/>
      <c r="B434" s="346"/>
      <c r="C434" s="139" t="s">
        <v>25</v>
      </c>
      <c r="D434" s="140" t="s">
        <v>24</v>
      </c>
      <c r="E434" s="141">
        <v>6000</v>
      </c>
      <c r="F434" s="66">
        <v>4628</v>
      </c>
      <c r="G434" s="141">
        <v>6000</v>
      </c>
      <c r="H434" s="141"/>
      <c r="I434" s="34"/>
      <c r="J434" s="5"/>
      <c r="K434" s="5"/>
    </row>
    <row r="435" spans="1:11" ht="15" customHeight="1">
      <c r="A435" s="338"/>
      <c r="B435" s="346"/>
      <c r="C435" s="139" t="s">
        <v>73</v>
      </c>
      <c r="D435" s="140" t="s">
        <v>72</v>
      </c>
      <c r="E435" s="141">
        <v>42000</v>
      </c>
      <c r="F435" s="66">
        <v>42143</v>
      </c>
      <c r="G435" s="141">
        <v>42000</v>
      </c>
      <c r="H435" s="141"/>
      <c r="I435" s="34"/>
      <c r="J435" s="5"/>
      <c r="K435" s="5"/>
    </row>
    <row r="436" spans="1:11" ht="15" customHeight="1" thickBot="1">
      <c r="A436" s="338"/>
      <c r="B436" s="347"/>
      <c r="C436" s="159" t="s">
        <v>71</v>
      </c>
      <c r="D436" s="160" t="s">
        <v>70</v>
      </c>
      <c r="E436" s="161">
        <v>9000</v>
      </c>
      <c r="F436" s="64">
        <v>4182.4399999999996</v>
      </c>
      <c r="G436" s="161">
        <v>9000</v>
      </c>
      <c r="H436" s="161"/>
      <c r="I436" s="34"/>
      <c r="J436" s="5"/>
      <c r="K436" s="5"/>
    </row>
    <row r="437" spans="1:11" ht="15" customHeight="1" thickBot="1">
      <c r="A437" s="338"/>
      <c r="B437" s="49" t="s">
        <v>242</v>
      </c>
      <c r="C437" s="109"/>
      <c r="D437" s="51" t="s">
        <v>243</v>
      </c>
      <c r="E437" s="52">
        <f>SUM(E438:E446)</f>
        <v>95800</v>
      </c>
      <c r="F437" s="127">
        <f>SUM(F438:F446)</f>
        <v>64264.800000000003</v>
      </c>
      <c r="G437" s="52">
        <f>SUM(G438:G446)</f>
        <v>95800</v>
      </c>
      <c r="H437" s="52">
        <f>SUM(H438:H446)</f>
        <v>0</v>
      </c>
      <c r="I437" s="34"/>
      <c r="J437" s="5"/>
      <c r="K437" s="5"/>
    </row>
    <row r="438" spans="1:11" ht="15" customHeight="1">
      <c r="A438" s="338"/>
      <c r="B438" s="345"/>
      <c r="C438" s="136" t="s">
        <v>92</v>
      </c>
      <c r="D438" s="137" t="s">
        <v>91</v>
      </c>
      <c r="E438" s="138">
        <v>2000</v>
      </c>
      <c r="F438" s="86"/>
      <c r="G438" s="138">
        <v>2000</v>
      </c>
      <c r="H438" s="138"/>
      <c r="I438" s="34"/>
      <c r="J438" s="5"/>
      <c r="K438" s="5"/>
    </row>
    <row r="439" spans="1:11" ht="15" customHeight="1">
      <c r="A439" s="338"/>
      <c r="B439" s="346"/>
      <c r="C439" s="139" t="s">
        <v>90</v>
      </c>
      <c r="D439" s="140" t="s">
        <v>89</v>
      </c>
      <c r="E439" s="141">
        <v>61100</v>
      </c>
      <c r="F439" s="118">
        <v>45580</v>
      </c>
      <c r="G439" s="141">
        <v>61100</v>
      </c>
      <c r="H439" s="141"/>
      <c r="I439" s="34">
        <f>G439</f>
        <v>61100</v>
      </c>
      <c r="J439" s="5"/>
      <c r="K439" s="5"/>
    </row>
    <row r="440" spans="1:11" ht="15" customHeight="1">
      <c r="A440" s="338"/>
      <c r="B440" s="346"/>
      <c r="C440" s="139" t="s">
        <v>88</v>
      </c>
      <c r="D440" s="140" t="s">
        <v>87</v>
      </c>
      <c r="E440" s="141">
        <v>5000</v>
      </c>
      <c r="F440" s="118">
        <v>4300</v>
      </c>
      <c r="G440" s="141">
        <v>5000</v>
      </c>
      <c r="H440" s="141"/>
      <c r="I440" s="34">
        <f>G440</f>
        <v>5000</v>
      </c>
      <c r="J440" s="5"/>
      <c r="K440" s="5"/>
    </row>
    <row r="441" spans="1:11" ht="15" customHeight="1">
      <c r="A441" s="338"/>
      <c r="B441" s="346"/>
      <c r="C441" s="139" t="s">
        <v>4</v>
      </c>
      <c r="D441" s="140" t="s">
        <v>135</v>
      </c>
      <c r="E441" s="141">
        <v>10100</v>
      </c>
      <c r="F441" s="118">
        <v>6294.8</v>
      </c>
      <c r="G441" s="141">
        <v>10100</v>
      </c>
      <c r="H441" s="141"/>
      <c r="I441" s="34">
        <f>G441</f>
        <v>10100</v>
      </c>
      <c r="J441" s="5"/>
      <c r="K441" s="5"/>
    </row>
    <row r="442" spans="1:11" ht="15" customHeight="1">
      <c r="A442" s="338"/>
      <c r="B442" s="346"/>
      <c r="C442" s="139" t="s">
        <v>85</v>
      </c>
      <c r="D442" s="140" t="s">
        <v>84</v>
      </c>
      <c r="E442" s="141">
        <v>1600</v>
      </c>
      <c r="F442" s="118">
        <v>900</v>
      </c>
      <c r="G442" s="141">
        <v>1600</v>
      </c>
      <c r="H442" s="141"/>
      <c r="I442" s="34">
        <f>G442</f>
        <v>1600</v>
      </c>
      <c r="J442" s="5"/>
      <c r="K442" s="5"/>
    </row>
    <row r="443" spans="1:11" ht="15" customHeight="1">
      <c r="A443" s="338"/>
      <c r="B443" s="346"/>
      <c r="C443" s="136" t="s">
        <v>175</v>
      </c>
      <c r="D443" s="137" t="s">
        <v>174</v>
      </c>
      <c r="E443" s="138">
        <v>1000</v>
      </c>
      <c r="F443" s="86">
        <v>1000</v>
      </c>
      <c r="G443" s="138">
        <v>1000</v>
      </c>
      <c r="H443" s="138"/>
      <c r="I443" s="34"/>
      <c r="J443" s="5"/>
      <c r="K443" s="5"/>
    </row>
    <row r="444" spans="1:11" ht="15" customHeight="1">
      <c r="A444" s="338"/>
      <c r="B444" s="346"/>
      <c r="C444" s="136" t="s">
        <v>83</v>
      </c>
      <c r="D444" s="137" t="s">
        <v>82</v>
      </c>
      <c r="E444" s="138">
        <v>13000</v>
      </c>
      <c r="F444" s="234">
        <v>4470</v>
      </c>
      <c r="G444" s="138">
        <v>13000</v>
      </c>
      <c r="H444" s="138"/>
      <c r="I444" s="34">
        <f>G444</f>
        <v>13000</v>
      </c>
      <c r="J444" s="5"/>
      <c r="K444" s="5"/>
    </row>
    <row r="445" spans="1:11" ht="14.25">
      <c r="A445" s="338"/>
      <c r="B445" s="346"/>
      <c r="C445" s="142" t="s">
        <v>30</v>
      </c>
      <c r="D445" s="140" t="s">
        <v>29</v>
      </c>
      <c r="E445" s="141">
        <v>0</v>
      </c>
      <c r="F445" s="122">
        <v>220</v>
      </c>
      <c r="G445" s="141">
        <v>0</v>
      </c>
      <c r="H445" s="141"/>
      <c r="I445" s="34"/>
      <c r="J445" s="5"/>
      <c r="K445" s="5"/>
    </row>
    <row r="446" spans="1:11" ht="16.5" customHeight="1" thickBot="1">
      <c r="A446" s="338"/>
      <c r="B446" s="346"/>
      <c r="C446" s="142" t="s">
        <v>73</v>
      </c>
      <c r="D446" s="143" t="s">
        <v>72</v>
      </c>
      <c r="E446" s="144">
        <v>2000</v>
      </c>
      <c r="F446" s="122">
        <v>1500</v>
      </c>
      <c r="G446" s="144">
        <v>2000</v>
      </c>
      <c r="H446" s="144"/>
      <c r="I446" s="34"/>
      <c r="J446" s="5"/>
      <c r="K446" s="5"/>
    </row>
    <row r="447" spans="1:11" ht="16.5" customHeight="1" thickBot="1">
      <c r="A447" s="338"/>
      <c r="B447" s="49" t="s">
        <v>60</v>
      </c>
      <c r="C447" s="109"/>
      <c r="D447" s="51" t="s">
        <v>11</v>
      </c>
      <c r="E447" s="52">
        <f>SUM(E448:E466)</f>
        <v>835452</v>
      </c>
      <c r="F447" s="127">
        <f>SUM(F448:F466)</f>
        <v>437697.06</v>
      </c>
      <c r="G447" s="52">
        <f>SUM(G448:G466)</f>
        <v>835452</v>
      </c>
      <c r="H447" s="52">
        <f>SUM(H448:H466)</f>
        <v>0</v>
      </c>
      <c r="I447" s="34"/>
      <c r="J447" s="5"/>
      <c r="K447" s="5"/>
    </row>
    <row r="448" spans="1:11" ht="45" customHeight="1">
      <c r="A448" s="338"/>
      <c r="B448" s="350"/>
      <c r="C448" s="159" t="s">
        <v>10</v>
      </c>
      <c r="D448" s="137" t="s">
        <v>59</v>
      </c>
      <c r="E448" s="172">
        <v>70000</v>
      </c>
      <c r="F448" s="86">
        <v>37000</v>
      </c>
      <c r="G448" s="172">
        <v>70000</v>
      </c>
      <c r="H448" s="172"/>
      <c r="I448" s="34"/>
      <c r="J448" s="5"/>
      <c r="K448" s="5"/>
    </row>
    <row r="449" spans="1:11" ht="15" customHeight="1">
      <c r="A449" s="338"/>
      <c r="B449" s="351"/>
      <c r="C449" s="139" t="s">
        <v>62</v>
      </c>
      <c r="D449" s="140" t="s">
        <v>61</v>
      </c>
      <c r="E449" s="173">
        <f>486000+60000-50000</f>
        <v>496000</v>
      </c>
      <c r="F449" s="235">
        <v>372749.13</v>
      </c>
      <c r="G449" s="173">
        <f>486000+60000-50000</f>
        <v>496000</v>
      </c>
      <c r="H449" s="236"/>
      <c r="I449" s="34"/>
      <c r="J449" s="5"/>
      <c r="K449" s="5"/>
    </row>
    <row r="450" spans="1:11" ht="15" customHeight="1">
      <c r="A450" s="338"/>
      <c r="B450" s="351"/>
      <c r="C450" s="139" t="s">
        <v>294</v>
      </c>
      <c r="D450" s="140" t="s">
        <v>135</v>
      </c>
      <c r="E450" s="173">
        <f>8282</f>
        <v>8282</v>
      </c>
      <c r="F450" s="235">
        <v>1725.24</v>
      </c>
      <c r="G450" s="173">
        <f>8282</f>
        <v>8282</v>
      </c>
      <c r="H450" s="236"/>
      <c r="I450" s="39">
        <f>8282</f>
        <v>8282</v>
      </c>
      <c r="J450" s="5"/>
      <c r="K450" s="5"/>
    </row>
    <row r="451" spans="1:11" ht="15" customHeight="1">
      <c r="A451" s="338"/>
      <c r="B451" s="351"/>
      <c r="C451" s="139" t="s">
        <v>238</v>
      </c>
      <c r="D451" s="140" t="s">
        <v>135</v>
      </c>
      <c r="E451" s="173">
        <f>1461</f>
        <v>1461</v>
      </c>
      <c r="F451" s="235">
        <v>304.45</v>
      </c>
      <c r="G451" s="173">
        <f>1461</f>
        <v>1461</v>
      </c>
      <c r="H451" s="236"/>
      <c r="I451" s="39">
        <f>1461</f>
        <v>1461</v>
      </c>
      <c r="J451" s="5"/>
      <c r="K451" s="5"/>
    </row>
    <row r="452" spans="1:11" ht="15" customHeight="1">
      <c r="A452" s="338"/>
      <c r="B452" s="351"/>
      <c r="C452" s="139" t="s">
        <v>295</v>
      </c>
      <c r="D452" s="137" t="s">
        <v>84</v>
      </c>
      <c r="E452" s="173">
        <f>1336</f>
        <v>1336</v>
      </c>
      <c r="F452" s="235">
        <v>278.26</v>
      </c>
      <c r="G452" s="173">
        <f>1336</f>
        <v>1336</v>
      </c>
      <c r="H452" s="236"/>
      <c r="I452" s="39">
        <f>1336</f>
        <v>1336</v>
      </c>
      <c r="J452" s="5"/>
      <c r="K452" s="5"/>
    </row>
    <row r="453" spans="1:11" ht="15" customHeight="1">
      <c r="A453" s="338"/>
      <c r="B453" s="351"/>
      <c r="C453" s="139" t="s">
        <v>239</v>
      </c>
      <c r="D453" s="137" t="s">
        <v>84</v>
      </c>
      <c r="E453" s="173">
        <f>236</f>
        <v>236</v>
      </c>
      <c r="F453" s="235">
        <v>49.11</v>
      </c>
      <c r="G453" s="173">
        <f>236</f>
        <v>236</v>
      </c>
      <c r="H453" s="236"/>
      <c r="I453" s="39">
        <f>236</f>
        <v>236</v>
      </c>
      <c r="J453" s="5"/>
      <c r="K453" s="5"/>
    </row>
    <row r="454" spans="1:11" ht="15" customHeight="1">
      <c r="A454" s="338"/>
      <c r="B454" s="351"/>
      <c r="C454" s="139" t="s">
        <v>83</v>
      </c>
      <c r="D454" s="140" t="s">
        <v>82</v>
      </c>
      <c r="E454" s="173">
        <f>8000</f>
        <v>8000</v>
      </c>
      <c r="F454" s="235">
        <v>6847</v>
      </c>
      <c r="G454" s="173">
        <f>8000</f>
        <v>8000</v>
      </c>
      <c r="H454" s="236"/>
      <c r="I454" s="39">
        <f>8000</f>
        <v>8000</v>
      </c>
      <c r="J454" s="5"/>
      <c r="K454" s="5"/>
    </row>
    <row r="455" spans="1:11" ht="15" customHeight="1">
      <c r="A455" s="338"/>
      <c r="B455" s="351"/>
      <c r="C455" s="139" t="s">
        <v>308</v>
      </c>
      <c r="D455" s="140" t="s">
        <v>82</v>
      </c>
      <c r="E455" s="173">
        <f>115418</f>
        <v>115418</v>
      </c>
      <c r="F455" s="235">
        <v>13805.7</v>
      </c>
      <c r="G455" s="173">
        <f>115418</f>
        <v>115418</v>
      </c>
      <c r="H455" s="236"/>
      <c r="I455" s="39">
        <f>115418</f>
        <v>115418</v>
      </c>
      <c r="J455" s="5"/>
      <c r="K455" s="5"/>
    </row>
    <row r="456" spans="1:11" ht="15" customHeight="1">
      <c r="A456" s="338"/>
      <c r="B456" s="351"/>
      <c r="C456" s="139" t="s">
        <v>268</v>
      </c>
      <c r="D456" s="140" t="s">
        <v>82</v>
      </c>
      <c r="E456" s="173">
        <f>20368</f>
        <v>20368</v>
      </c>
      <c r="F456" s="235">
        <v>2436.3000000000002</v>
      </c>
      <c r="G456" s="173">
        <f>20368</f>
        <v>20368</v>
      </c>
      <c r="H456" s="236"/>
      <c r="I456" s="39">
        <f>20368</f>
        <v>20368</v>
      </c>
      <c r="J456" s="5"/>
      <c r="K456" s="5"/>
    </row>
    <row r="457" spans="1:11" ht="15" customHeight="1">
      <c r="A457" s="338"/>
      <c r="B457" s="351"/>
      <c r="C457" s="139" t="s">
        <v>30</v>
      </c>
      <c r="D457" s="140" t="s">
        <v>29</v>
      </c>
      <c r="E457" s="173">
        <v>8500</v>
      </c>
      <c r="F457" s="237">
        <v>1801.87</v>
      </c>
      <c r="G457" s="173">
        <v>8500</v>
      </c>
      <c r="H457" s="236"/>
      <c r="I457" s="34"/>
      <c r="J457" s="5"/>
      <c r="K457" s="5"/>
    </row>
    <row r="458" spans="1:11" ht="15" customHeight="1">
      <c r="A458" s="338"/>
      <c r="B458" s="351"/>
      <c r="C458" s="139" t="s">
        <v>296</v>
      </c>
      <c r="D458" s="140" t="s">
        <v>29</v>
      </c>
      <c r="E458" s="173">
        <f>7310</f>
        <v>7310</v>
      </c>
      <c r="F458" s="237"/>
      <c r="G458" s="173">
        <f>7310</f>
        <v>7310</v>
      </c>
      <c r="H458" s="236"/>
      <c r="I458" s="34"/>
      <c r="J458" s="5"/>
      <c r="K458" s="5"/>
    </row>
    <row r="459" spans="1:11" ht="15" customHeight="1">
      <c r="A459" s="338"/>
      <c r="B459" s="351"/>
      <c r="C459" s="139" t="s">
        <v>240</v>
      </c>
      <c r="D459" s="140" t="s">
        <v>29</v>
      </c>
      <c r="E459" s="173">
        <f>1290</f>
        <v>1290</v>
      </c>
      <c r="F459" s="237"/>
      <c r="G459" s="173">
        <f>1290</f>
        <v>1290</v>
      </c>
      <c r="H459" s="173"/>
      <c r="I459" s="34"/>
      <c r="J459" s="5"/>
      <c r="K459" s="5"/>
    </row>
    <row r="460" spans="1:11" ht="15" customHeight="1">
      <c r="A460" s="338"/>
      <c r="B460" s="351"/>
      <c r="C460" s="139" t="s">
        <v>2</v>
      </c>
      <c r="D460" s="140" t="s">
        <v>26</v>
      </c>
      <c r="E460" s="173">
        <v>43000</v>
      </c>
      <c r="F460" s="237">
        <v>700</v>
      </c>
      <c r="G460" s="173">
        <v>43000</v>
      </c>
      <c r="H460" s="173"/>
      <c r="I460" s="34"/>
      <c r="J460" s="5"/>
      <c r="K460" s="5"/>
    </row>
    <row r="461" spans="1:11" ht="15" customHeight="1">
      <c r="A461" s="338"/>
      <c r="B461" s="351"/>
      <c r="C461" s="139" t="s">
        <v>298</v>
      </c>
      <c r="D461" s="140" t="s">
        <v>26</v>
      </c>
      <c r="E461" s="173">
        <f>43776</f>
        <v>43776</v>
      </c>
      <c r="F461" s="237"/>
      <c r="G461" s="173">
        <f>43776</f>
        <v>43776</v>
      </c>
      <c r="H461" s="173"/>
      <c r="I461" s="34"/>
      <c r="J461" s="5"/>
      <c r="K461" s="5"/>
    </row>
    <row r="462" spans="1:11" ht="15" customHeight="1">
      <c r="A462" s="338"/>
      <c r="B462" s="351"/>
      <c r="C462" s="139" t="s">
        <v>310</v>
      </c>
      <c r="D462" s="140" t="s">
        <v>26</v>
      </c>
      <c r="E462" s="173">
        <f>7725</f>
        <v>7725</v>
      </c>
      <c r="F462" s="237"/>
      <c r="G462" s="173">
        <f>7725</f>
        <v>7725</v>
      </c>
      <c r="H462" s="173"/>
      <c r="I462" s="34"/>
      <c r="J462" s="5"/>
      <c r="K462" s="5"/>
    </row>
    <row r="463" spans="1:11" ht="15" customHeight="1">
      <c r="A463" s="338"/>
      <c r="B463" s="351"/>
      <c r="C463" s="139" t="s">
        <v>314</v>
      </c>
      <c r="D463" s="140" t="s">
        <v>77</v>
      </c>
      <c r="E463" s="173">
        <f>467</f>
        <v>467</v>
      </c>
      <c r="F463" s="237"/>
      <c r="G463" s="173">
        <f>467</f>
        <v>467</v>
      </c>
      <c r="H463" s="173"/>
      <c r="I463" s="34"/>
      <c r="J463" s="5"/>
      <c r="K463" s="5"/>
    </row>
    <row r="464" spans="1:11" ht="15" customHeight="1">
      <c r="A464" s="338"/>
      <c r="B464" s="351"/>
      <c r="C464" s="139" t="s">
        <v>315</v>
      </c>
      <c r="D464" s="140" t="s">
        <v>77</v>
      </c>
      <c r="E464" s="173">
        <f>83</f>
        <v>83</v>
      </c>
      <c r="F464" s="237"/>
      <c r="G464" s="173">
        <f>83</f>
        <v>83</v>
      </c>
      <c r="H464" s="173"/>
      <c r="I464" s="34"/>
      <c r="J464" s="5"/>
      <c r="K464" s="5"/>
    </row>
    <row r="465" spans="1:11" ht="30" customHeight="1">
      <c r="A465" s="338"/>
      <c r="B465" s="351"/>
      <c r="C465" s="139" t="s">
        <v>316</v>
      </c>
      <c r="D465" s="140" t="s">
        <v>323</v>
      </c>
      <c r="E465" s="173">
        <f>1870</f>
        <v>1870</v>
      </c>
      <c r="F465" s="237"/>
      <c r="G465" s="173">
        <f>1870</f>
        <v>1870</v>
      </c>
      <c r="H465" s="173"/>
      <c r="I465" s="34"/>
      <c r="J465" s="5"/>
      <c r="K465" s="5"/>
    </row>
    <row r="466" spans="1:11" ht="30" customHeight="1" thickBot="1">
      <c r="A466" s="339"/>
      <c r="B466" s="352"/>
      <c r="C466" s="142" t="s">
        <v>317</v>
      </c>
      <c r="D466" s="140" t="s">
        <v>323</v>
      </c>
      <c r="E466" s="201">
        <f>330</f>
        <v>330</v>
      </c>
      <c r="F466" s="237"/>
      <c r="G466" s="201">
        <f>330</f>
        <v>330</v>
      </c>
      <c r="H466" s="201"/>
      <c r="I466" s="34"/>
      <c r="J466" s="5"/>
      <c r="K466" s="5"/>
    </row>
    <row r="467" spans="1:11" ht="15.95" customHeight="1" thickBot="1">
      <c r="A467" s="132" t="s">
        <v>58</v>
      </c>
      <c r="B467" s="133"/>
      <c r="C467" s="134"/>
      <c r="D467" s="150" t="s">
        <v>57</v>
      </c>
      <c r="E467" s="135">
        <f>E468+E488+E490</f>
        <v>1060535</v>
      </c>
      <c r="F467" s="191">
        <f>SUM(F468+F482+F484)</f>
        <v>562895</v>
      </c>
      <c r="G467" s="135">
        <f>G468+G488+G490</f>
        <v>860535</v>
      </c>
      <c r="H467" s="238">
        <f>H468+H488+H490</f>
        <v>200000</v>
      </c>
      <c r="I467" s="34"/>
      <c r="J467" s="5"/>
      <c r="K467" s="5"/>
    </row>
    <row r="468" spans="1:11" ht="15" customHeight="1" thickBot="1">
      <c r="A468" s="356"/>
      <c r="B468" s="49" t="s">
        <v>56</v>
      </c>
      <c r="C468" s="109"/>
      <c r="D468" s="51" t="s">
        <v>55</v>
      </c>
      <c r="E468" s="52">
        <f>SUM(E469:E486)</f>
        <v>765692</v>
      </c>
      <c r="F468" s="127">
        <f>SUM(F481)</f>
        <v>397835</v>
      </c>
      <c r="G468" s="52">
        <f>SUM(G469:G486)</f>
        <v>565692</v>
      </c>
      <c r="H468" s="239">
        <f>SUM(H469:H486)</f>
        <v>200000</v>
      </c>
      <c r="I468" s="34"/>
      <c r="J468" s="5"/>
      <c r="K468" s="5"/>
    </row>
    <row r="469" spans="1:11" ht="15" customHeight="1">
      <c r="A469" s="357"/>
      <c r="B469" s="343"/>
      <c r="C469" s="192" t="s">
        <v>92</v>
      </c>
      <c r="D469" s="137" t="s">
        <v>91</v>
      </c>
      <c r="E469" s="240">
        <v>2900</v>
      </c>
      <c r="F469" s="191"/>
      <c r="G469" s="240">
        <v>2900</v>
      </c>
      <c r="H469" s="241"/>
      <c r="I469" s="34"/>
      <c r="J469" s="5"/>
      <c r="K469" s="5"/>
    </row>
    <row r="470" spans="1:11" ht="15" customHeight="1">
      <c r="A470" s="357"/>
      <c r="B470" s="343"/>
      <c r="C470" s="164" t="s">
        <v>90</v>
      </c>
      <c r="D470" s="140" t="s">
        <v>89</v>
      </c>
      <c r="E470" s="242">
        <v>335000</v>
      </c>
      <c r="F470" s="243"/>
      <c r="G470" s="242">
        <v>335000</v>
      </c>
      <c r="H470" s="244"/>
      <c r="I470" s="40">
        <v>335000</v>
      </c>
      <c r="J470" s="5"/>
      <c r="K470" s="5"/>
    </row>
    <row r="471" spans="1:11" ht="15" customHeight="1">
      <c r="A471" s="357"/>
      <c r="B471" s="343"/>
      <c r="C471" s="164" t="s">
        <v>88</v>
      </c>
      <c r="D471" s="140" t="s">
        <v>87</v>
      </c>
      <c r="E471" s="242">
        <v>28650</v>
      </c>
      <c r="F471" s="243"/>
      <c r="G471" s="242">
        <v>28650</v>
      </c>
      <c r="H471" s="244"/>
      <c r="I471" s="40">
        <v>28650</v>
      </c>
      <c r="J471" s="5"/>
      <c r="K471" s="5"/>
    </row>
    <row r="472" spans="1:11" ht="15" customHeight="1">
      <c r="A472" s="357"/>
      <c r="B472" s="343"/>
      <c r="C472" s="164" t="s">
        <v>4</v>
      </c>
      <c r="D472" s="140" t="s">
        <v>135</v>
      </c>
      <c r="E472" s="242">
        <v>50760</v>
      </c>
      <c r="F472" s="243"/>
      <c r="G472" s="242">
        <v>50760</v>
      </c>
      <c r="H472" s="244"/>
      <c r="I472" s="40">
        <v>50760</v>
      </c>
      <c r="J472" s="5"/>
      <c r="K472" s="5"/>
    </row>
    <row r="473" spans="1:11" ht="15" customHeight="1">
      <c r="A473" s="357"/>
      <c r="B473" s="343"/>
      <c r="C473" s="164" t="s">
        <v>85</v>
      </c>
      <c r="D473" s="140" t="s">
        <v>84</v>
      </c>
      <c r="E473" s="242">
        <v>8200</v>
      </c>
      <c r="F473" s="243"/>
      <c r="G473" s="242">
        <v>8200</v>
      </c>
      <c r="H473" s="244"/>
      <c r="I473" s="40">
        <v>8200</v>
      </c>
      <c r="J473" s="5"/>
      <c r="K473" s="5"/>
    </row>
    <row r="474" spans="1:11" ht="15" customHeight="1">
      <c r="A474" s="357"/>
      <c r="B474" s="343"/>
      <c r="C474" s="164" t="s">
        <v>30</v>
      </c>
      <c r="D474" s="140" t="s">
        <v>29</v>
      </c>
      <c r="E474" s="242">
        <v>18000</v>
      </c>
      <c r="F474" s="243"/>
      <c r="G474" s="242">
        <v>18000</v>
      </c>
      <c r="H474" s="244"/>
      <c r="I474" s="34"/>
      <c r="J474" s="5"/>
      <c r="K474" s="5"/>
    </row>
    <row r="475" spans="1:11" ht="15" customHeight="1">
      <c r="A475" s="357"/>
      <c r="B475" s="343"/>
      <c r="C475" s="164" t="s">
        <v>148</v>
      </c>
      <c r="D475" s="137" t="s">
        <v>354</v>
      </c>
      <c r="E475" s="242">
        <v>31185</v>
      </c>
      <c r="F475" s="243"/>
      <c r="G475" s="242">
        <v>31185</v>
      </c>
      <c r="H475" s="244"/>
      <c r="I475" s="34"/>
      <c r="J475" s="5"/>
      <c r="K475" s="5"/>
    </row>
    <row r="476" spans="1:11" ht="15" customHeight="1" thickBot="1">
      <c r="A476" s="357"/>
      <c r="B476" s="343"/>
      <c r="C476" s="164" t="s">
        <v>28</v>
      </c>
      <c r="D476" s="140" t="s">
        <v>27</v>
      </c>
      <c r="E476" s="242">
        <v>25000</v>
      </c>
      <c r="F476" s="243"/>
      <c r="G476" s="242">
        <v>25000</v>
      </c>
      <c r="H476" s="242"/>
      <c r="I476" s="34"/>
      <c r="J476" s="5"/>
      <c r="K476" s="5"/>
    </row>
    <row r="477" spans="1:11" ht="15" customHeight="1" thickBot="1">
      <c r="A477" s="357"/>
      <c r="B477" s="343"/>
      <c r="C477" s="164" t="s">
        <v>36</v>
      </c>
      <c r="D477" s="140" t="s">
        <v>81</v>
      </c>
      <c r="E477" s="242">
        <v>35000</v>
      </c>
      <c r="F477" s="245"/>
      <c r="G477" s="242">
        <v>35000</v>
      </c>
      <c r="H477" s="242"/>
      <c r="I477" s="34"/>
      <c r="J477" s="5"/>
      <c r="K477" s="5"/>
    </row>
    <row r="478" spans="1:11" ht="15" customHeight="1" thickBot="1">
      <c r="A478" s="357"/>
      <c r="B478" s="343"/>
      <c r="C478" s="164" t="s">
        <v>80</v>
      </c>
      <c r="D478" s="140" t="s">
        <v>79</v>
      </c>
      <c r="E478" s="242">
        <v>600</v>
      </c>
      <c r="F478" s="245"/>
      <c r="G478" s="242">
        <v>600</v>
      </c>
      <c r="H478" s="242"/>
      <c r="I478" s="34"/>
      <c r="J478" s="5"/>
      <c r="K478" s="5"/>
    </row>
    <row r="479" spans="1:11" ht="15" customHeight="1" thickBot="1">
      <c r="A479" s="357"/>
      <c r="B479" s="343"/>
      <c r="C479" s="164" t="s">
        <v>2</v>
      </c>
      <c r="D479" s="140" t="s">
        <v>26</v>
      </c>
      <c r="E479" s="242">
        <v>6000</v>
      </c>
      <c r="F479" s="245"/>
      <c r="G479" s="242">
        <v>6000</v>
      </c>
      <c r="H479" s="242"/>
      <c r="I479" s="34"/>
      <c r="J479" s="5"/>
      <c r="K479" s="5"/>
    </row>
    <row r="480" spans="1:11" ht="15" customHeight="1" thickBot="1">
      <c r="A480" s="357"/>
      <c r="B480" s="343"/>
      <c r="C480" s="164" t="s">
        <v>78</v>
      </c>
      <c r="D480" s="140" t="s">
        <v>77</v>
      </c>
      <c r="E480" s="242">
        <v>720</v>
      </c>
      <c r="F480" s="245"/>
      <c r="G480" s="242">
        <v>720</v>
      </c>
      <c r="H480" s="242"/>
      <c r="I480" s="34"/>
      <c r="J480" s="5"/>
      <c r="K480" s="5"/>
    </row>
    <row r="481" spans="1:11" ht="30" customHeight="1">
      <c r="A481" s="357"/>
      <c r="B481" s="343"/>
      <c r="C481" s="136" t="s">
        <v>76</v>
      </c>
      <c r="D481" s="140" t="s">
        <v>324</v>
      </c>
      <c r="E481" s="242">
        <v>1800</v>
      </c>
      <c r="F481" s="128">
        <v>397835</v>
      </c>
      <c r="G481" s="242">
        <v>1800</v>
      </c>
      <c r="H481" s="242"/>
      <c r="I481" s="34"/>
      <c r="J481" s="5"/>
      <c r="K481" s="5"/>
    </row>
    <row r="482" spans="1:11" ht="15" customHeight="1" thickBot="1">
      <c r="A482" s="357"/>
      <c r="B482" s="343"/>
      <c r="C482" s="136" t="s">
        <v>75</v>
      </c>
      <c r="D482" s="137" t="s">
        <v>74</v>
      </c>
      <c r="E482" s="242">
        <v>5000</v>
      </c>
      <c r="F482" s="145">
        <f>SUM(F483)</f>
        <v>43155</v>
      </c>
      <c r="G482" s="242">
        <v>5000</v>
      </c>
      <c r="H482" s="242"/>
      <c r="I482" s="34"/>
      <c r="J482" s="5"/>
      <c r="K482" s="5"/>
    </row>
    <row r="483" spans="1:11" ht="15" customHeight="1" thickBot="1">
      <c r="A483" s="357"/>
      <c r="B483" s="343"/>
      <c r="C483" s="139" t="s">
        <v>25</v>
      </c>
      <c r="D483" s="140" t="s">
        <v>193</v>
      </c>
      <c r="E483" s="242">
        <v>750</v>
      </c>
      <c r="F483" s="122">
        <v>43155</v>
      </c>
      <c r="G483" s="242">
        <v>750</v>
      </c>
      <c r="H483" s="242"/>
      <c r="I483" s="34"/>
      <c r="J483" s="5"/>
      <c r="K483" s="5"/>
    </row>
    <row r="484" spans="1:11" ht="15" customHeight="1" thickBot="1">
      <c r="A484" s="357"/>
      <c r="B484" s="343"/>
      <c r="C484" s="139" t="s">
        <v>73</v>
      </c>
      <c r="D484" s="140" t="s">
        <v>72</v>
      </c>
      <c r="E484" s="242">
        <v>14670</v>
      </c>
      <c r="F484" s="127">
        <f>SUM(F485:F494)</f>
        <v>121905</v>
      </c>
      <c r="G484" s="242">
        <v>14670</v>
      </c>
      <c r="H484" s="242"/>
      <c r="I484" s="34"/>
      <c r="J484" s="5"/>
      <c r="K484" s="5"/>
    </row>
    <row r="485" spans="1:11" ht="15" customHeight="1">
      <c r="A485" s="357"/>
      <c r="B485" s="343"/>
      <c r="C485" s="136" t="s">
        <v>355</v>
      </c>
      <c r="D485" s="137" t="s">
        <v>356</v>
      </c>
      <c r="E485" s="242">
        <v>1457</v>
      </c>
      <c r="F485" s="118">
        <v>57392.959999999999</v>
      </c>
      <c r="G485" s="242">
        <v>1457</v>
      </c>
      <c r="H485" s="242"/>
      <c r="I485" s="34"/>
      <c r="J485" s="5"/>
      <c r="K485" s="5"/>
    </row>
    <row r="486" spans="1:11" ht="15" customHeight="1">
      <c r="A486" s="357"/>
      <c r="B486" s="343"/>
      <c r="C486" s="123" t="s">
        <v>34</v>
      </c>
      <c r="D486" s="62" t="s">
        <v>14</v>
      </c>
      <c r="E486" s="85">
        <f>E487</f>
        <v>200000</v>
      </c>
      <c r="F486" s="118">
        <v>587.87</v>
      </c>
      <c r="G486" s="85"/>
      <c r="H486" s="85">
        <f>H487</f>
        <v>200000</v>
      </c>
      <c r="I486" s="34"/>
      <c r="J486" s="5"/>
      <c r="K486" s="5"/>
    </row>
    <row r="487" spans="1:11" ht="15" customHeight="1" thickBot="1">
      <c r="A487" s="357"/>
      <c r="B487" s="344"/>
      <c r="C487" s="246"/>
      <c r="D487" s="247" t="s">
        <v>346</v>
      </c>
      <c r="E487" s="248">
        <f>1200000-1000000</f>
        <v>200000</v>
      </c>
      <c r="F487" s="209">
        <v>2122.9699999999998</v>
      </c>
      <c r="G487" s="248"/>
      <c r="H487" s="248">
        <f>E487</f>
        <v>200000</v>
      </c>
      <c r="I487" s="34"/>
      <c r="J487" s="5"/>
      <c r="K487" s="5"/>
    </row>
    <row r="488" spans="1:11" ht="15" customHeight="1" thickBot="1">
      <c r="A488" s="357"/>
      <c r="B488" s="325" t="s">
        <v>54</v>
      </c>
      <c r="C488" s="151"/>
      <c r="D488" s="152" t="s">
        <v>53</v>
      </c>
      <c r="E488" s="153">
        <f>SUM(E489)</f>
        <v>57540</v>
      </c>
      <c r="F488" s="86">
        <v>112.39</v>
      </c>
      <c r="G488" s="153">
        <f>SUM(G489)</f>
        <v>57540</v>
      </c>
      <c r="H488" s="153">
        <f>SUM(H489)</f>
        <v>0</v>
      </c>
      <c r="I488" s="34"/>
      <c r="J488" s="5"/>
      <c r="K488" s="5"/>
    </row>
    <row r="489" spans="1:11" ht="45" customHeight="1" thickBot="1">
      <c r="A489" s="357"/>
      <c r="B489" s="249"/>
      <c r="C489" s="159" t="s">
        <v>279</v>
      </c>
      <c r="D489" s="160" t="s">
        <v>383</v>
      </c>
      <c r="E489" s="161">
        <v>57540</v>
      </c>
      <c r="F489" s="118">
        <v>56641.22</v>
      </c>
      <c r="G489" s="161">
        <v>57540</v>
      </c>
      <c r="H489" s="161"/>
      <c r="I489" s="34"/>
      <c r="J489" s="5"/>
      <c r="K489" s="5"/>
    </row>
    <row r="490" spans="1:11" ht="15" customHeight="1" thickBot="1">
      <c r="A490" s="357"/>
      <c r="B490" s="49" t="s">
        <v>292</v>
      </c>
      <c r="C490" s="109"/>
      <c r="D490" s="51" t="s">
        <v>11</v>
      </c>
      <c r="E490" s="52">
        <f>SUM(E491:E508)</f>
        <v>237303</v>
      </c>
      <c r="F490" s="118">
        <v>2998.66</v>
      </c>
      <c r="G490" s="52">
        <f>SUM(G491:G508)</f>
        <v>237303</v>
      </c>
      <c r="H490" s="52">
        <f>SUM(H491:H508)</f>
        <v>0</v>
      </c>
      <c r="I490" s="34"/>
      <c r="J490" s="5"/>
      <c r="K490" s="5"/>
    </row>
    <row r="491" spans="1:11" ht="15" customHeight="1">
      <c r="A491" s="357"/>
      <c r="B491" s="359"/>
      <c r="C491" s="164" t="s">
        <v>291</v>
      </c>
      <c r="D491" s="137" t="s">
        <v>89</v>
      </c>
      <c r="E491" s="138">
        <v>78950</v>
      </c>
      <c r="F491" s="118">
        <v>1084.51</v>
      </c>
      <c r="G491" s="138">
        <v>78950</v>
      </c>
      <c r="H491" s="138"/>
      <c r="I491" s="34">
        <f>E491</f>
        <v>78950</v>
      </c>
      <c r="J491" s="5"/>
      <c r="K491" s="5"/>
    </row>
    <row r="492" spans="1:11" ht="15" customHeight="1">
      <c r="A492" s="357"/>
      <c r="B492" s="360"/>
      <c r="C492" s="164" t="s">
        <v>236</v>
      </c>
      <c r="D492" s="137" t="s">
        <v>89</v>
      </c>
      <c r="E492" s="138">
        <v>4180</v>
      </c>
      <c r="F492" s="118">
        <v>57.42</v>
      </c>
      <c r="G492" s="138">
        <v>4180</v>
      </c>
      <c r="H492" s="138"/>
      <c r="I492" s="34">
        <f t="shared" ref="I492:I498" si="2">E492</f>
        <v>4180</v>
      </c>
      <c r="J492" s="5"/>
      <c r="K492" s="5"/>
    </row>
    <row r="493" spans="1:11" ht="15" customHeight="1">
      <c r="A493" s="357"/>
      <c r="B493" s="360"/>
      <c r="C493" s="164" t="s">
        <v>293</v>
      </c>
      <c r="D493" s="140" t="s">
        <v>87</v>
      </c>
      <c r="E493" s="138">
        <v>2094</v>
      </c>
      <c r="F493" s="118">
        <v>861</v>
      </c>
      <c r="G493" s="138">
        <v>2094</v>
      </c>
      <c r="H493" s="138"/>
      <c r="I493" s="34">
        <f t="shared" si="2"/>
        <v>2094</v>
      </c>
      <c r="J493" s="5"/>
      <c r="K493" s="5"/>
    </row>
    <row r="494" spans="1:11" ht="15" customHeight="1" thickBot="1">
      <c r="A494" s="357"/>
      <c r="B494" s="360"/>
      <c r="C494" s="164" t="s">
        <v>237</v>
      </c>
      <c r="D494" s="140" t="s">
        <v>87</v>
      </c>
      <c r="E494" s="138">
        <v>111</v>
      </c>
      <c r="F494" s="118">
        <v>46</v>
      </c>
      <c r="G494" s="138">
        <v>111</v>
      </c>
      <c r="H494" s="138"/>
      <c r="I494" s="34">
        <f t="shared" si="2"/>
        <v>111</v>
      </c>
      <c r="J494" s="5"/>
      <c r="K494" s="5"/>
    </row>
    <row r="495" spans="1:11" ht="15" customHeight="1" thickBot="1">
      <c r="A495" s="357"/>
      <c r="B495" s="360"/>
      <c r="C495" s="164" t="s">
        <v>294</v>
      </c>
      <c r="D495" s="140" t="s">
        <v>135</v>
      </c>
      <c r="E495" s="138">
        <v>12514</v>
      </c>
      <c r="F495" s="213">
        <f>SUM(F496+F516+F518+F521)</f>
        <v>757658.74</v>
      </c>
      <c r="G495" s="138">
        <v>12514</v>
      </c>
      <c r="H495" s="138"/>
      <c r="I495" s="34">
        <f t="shared" si="2"/>
        <v>12514</v>
      </c>
      <c r="J495" s="5"/>
      <c r="K495" s="5"/>
    </row>
    <row r="496" spans="1:11" ht="15" customHeight="1" thickBot="1">
      <c r="A496" s="357"/>
      <c r="B496" s="360"/>
      <c r="C496" s="164" t="s">
        <v>238</v>
      </c>
      <c r="D496" s="140" t="s">
        <v>135</v>
      </c>
      <c r="E496" s="138">
        <v>663</v>
      </c>
      <c r="F496" s="213">
        <f>SUM(F497:F515)</f>
        <v>443590.47999999992</v>
      </c>
      <c r="G496" s="138">
        <v>663</v>
      </c>
      <c r="H496" s="138"/>
      <c r="I496" s="34">
        <f t="shared" si="2"/>
        <v>663</v>
      </c>
      <c r="J496" s="5"/>
      <c r="K496" s="5"/>
    </row>
    <row r="497" spans="1:38" ht="15" customHeight="1">
      <c r="A497" s="357"/>
      <c r="B497" s="360"/>
      <c r="C497" s="164" t="s">
        <v>295</v>
      </c>
      <c r="D497" s="140" t="s">
        <v>84</v>
      </c>
      <c r="E497" s="138">
        <v>1986</v>
      </c>
      <c r="F497" s="118"/>
      <c r="G497" s="138">
        <v>1986</v>
      </c>
      <c r="H497" s="138"/>
      <c r="I497" s="34">
        <f t="shared" si="2"/>
        <v>1986</v>
      </c>
      <c r="J497" s="5"/>
      <c r="K497" s="5"/>
    </row>
    <row r="498" spans="1:38" ht="15" customHeight="1">
      <c r="A498" s="357"/>
      <c r="B498" s="360"/>
      <c r="C498" s="164" t="s">
        <v>239</v>
      </c>
      <c r="D498" s="140" t="s">
        <v>84</v>
      </c>
      <c r="E498" s="138">
        <v>105</v>
      </c>
      <c r="F498" s="86">
        <v>228855.24</v>
      </c>
      <c r="G498" s="138">
        <v>105</v>
      </c>
      <c r="H498" s="138"/>
      <c r="I498" s="34">
        <f t="shared" si="2"/>
        <v>105</v>
      </c>
      <c r="J498" s="5"/>
      <c r="K498" s="5"/>
    </row>
    <row r="499" spans="1:38" ht="15" customHeight="1">
      <c r="A499" s="357"/>
      <c r="B499" s="360"/>
      <c r="C499" s="164" t="s">
        <v>296</v>
      </c>
      <c r="D499" s="140" t="s">
        <v>29</v>
      </c>
      <c r="E499" s="138">
        <v>15451</v>
      </c>
      <c r="F499" s="118">
        <v>24504.29</v>
      </c>
      <c r="G499" s="138">
        <v>15451</v>
      </c>
      <c r="H499" s="138"/>
      <c r="I499" s="34"/>
      <c r="J499" s="5"/>
      <c r="K499" s="5"/>
    </row>
    <row r="500" spans="1:38" ht="15" customHeight="1">
      <c r="A500" s="357"/>
      <c r="B500" s="360"/>
      <c r="C500" s="164" t="s">
        <v>240</v>
      </c>
      <c r="D500" s="140" t="s">
        <v>29</v>
      </c>
      <c r="E500" s="138">
        <v>817</v>
      </c>
      <c r="F500" s="118">
        <v>36279.79</v>
      </c>
      <c r="G500" s="138">
        <v>817</v>
      </c>
      <c r="H500" s="138"/>
      <c r="I500" s="34"/>
      <c r="J500" s="5"/>
      <c r="K500" s="5"/>
    </row>
    <row r="501" spans="1:38" ht="15" customHeight="1">
      <c r="A501" s="357"/>
      <c r="B501" s="360"/>
      <c r="C501" s="164" t="s">
        <v>297</v>
      </c>
      <c r="D501" s="140" t="s">
        <v>27</v>
      </c>
      <c r="E501" s="138">
        <v>4246</v>
      </c>
      <c r="F501" s="118">
        <v>4582.91</v>
      </c>
      <c r="G501" s="138">
        <v>4246</v>
      </c>
      <c r="H501" s="138"/>
      <c r="I501" s="34"/>
      <c r="J501" s="5"/>
      <c r="K501" s="5"/>
    </row>
    <row r="502" spans="1:38" ht="15" customHeight="1">
      <c r="A502" s="357"/>
      <c r="B502" s="360"/>
      <c r="C502" s="164" t="s">
        <v>269</v>
      </c>
      <c r="D502" s="140" t="s">
        <v>27</v>
      </c>
      <c r="E502" s="138">
        <v>225</v>
      </c>
      <c r="F502" s="118">
        <v>34785</v>
      </c>
      <c r="G502" s="138">
        <v>225</v>
      </c>
      <c r="H502" s="138"/>
      <c r="I502" s="34"/>
      <c r="J502" s="5"/>
      <c r="K502" s="5"/>
    </row>
    <row r="503" spans="1:38" ht="15" customHeight="1">
      <c r="A503" s="357"/>
      <c r="B503" s="360"/>
      <c r="C503" s="164" t="s">
        <v>298</v>
      </c>
      <c r="D503" s="137" t="s">
        <v>26</v>
      </c>
      <c r="E503" s="138">
        <v>107508</v>
      </c>
      <c r="F503" s="118">
        <v>47428.56</v>
      </c>
      <c r="G503" s="138">
        <v>107508</v>
      </c>
      <c r="H503" s="138"/>
      <c r="I503" s="34"/>
      <c r="J503" s="5"/>
      <c r="K503" s="5"/>
    </row>
    <row r="504" spans="1:38" ht="15" customHeight="1">
      <c r="A504" s="357"/>
      <c r="B504" s="360"/>
      <c r="C504" s="164" t="s">
        <v>310</v>
      </c>
      <c r="D504" s="137" t="s">
        <v>26</v>
      </c>
      <c r="E504" s="138">
        <v>5692</v>
      </c>
      <c r="F504" s="118">
        <v>23548.45</v>
      </c>
      <c r="G504" s="138">
        <v>5692</v>
      </c>
      <c r="H504" s="138"/>
      <c r="I504" s="34"/>
      <c r="J504" s="5"/>
      <c r="K504" s="5"/>
    </row>
    <row r="505" spans="1:38" ht="30" customHeight="1">
      <c r="A505" s="357"/>
      <c r="B505" s="360"/>
      <c r="C505" s="164" t="s">
        <v>299</v>
      </c>
      <c r="D505" s="140" t="s">
        <v>324</v>
      </c>
      <c r="E505" s="138">
        <v>1761</v>
      </c>
      <c r="F505" s="118">
        <v>5190</v>
      </c>
      <c r="G505" s="138">
        <v>1761</v>
      </c>
      <c r="H505" s="138"/>
      <c r="I505" s="34"/>
      <c r="J505" s="5"/>
      <c r="K505" s="5"/>
    </row>
    <row r="506" spans="1:38" ht="30" customHeight="1">
      <c r="A506" s="357"/>
      <c r="B506" s="360"/>
      <c r="C506" s="164" t="s">
        <v>300</v>
      </c>
      <c r="D506" s="140" t="s">
        <v>324</v>
      </c>
      <c r="E506" s="138">
        <v>93</v>
      </c>
      <c r="F506" s="86">
        <v>30</v>
      </c>
      <c r="G506" s="138">
        <v>93</v>
      </c>
      <c r="H506" s="138"/>
      <c r="I506" s="34"/>
      <c r="J506" s="5"/>
      <c r="K506" s="5"/>
    </row>
    <row r="507" spans="1:38" ht="15" customHeight="1">
      <c r="A507" s="357"/>
      <c r="B507" s="360"/>
      <c r="C507" s="164" t="s">
        <v>301</v>
      </c>
      <c r="D507" s="140" t="s">
        <v>72</v>
      </c>
      <c r="E507" s="138">
        <v>861</v>
      </c>
      <c r="F507" s="86">
        <v>8263.26</v>
      </c>
      <c r="G507" s="138">
        <v>861</v>
      </c>
      <c r="H507" s="138"/>
      <c r="I507" s="34"/>
      <c r="J507" s="5"/>
      <c r="K507" s="5"/>
    </row>
    <row r="508" spans="1:38" ht="15" customHeight="1" thickBot="1">
      <c r="A508" s="358"/>
      <c r="B508" s="361"/>
      <c r="C508" s="164" t="s">
        <v>241</v>
      </c>
      <c r="D508" s="140" t="s">
        <v>72</v>
      </c>
      <c r="E508" s="138">
        <v>46</v>
      </c>
      <c r="F508" s="86">
        <v>1618.92</v>
      </c>
      <c r="G508" s="138">
        <v>46</v>
      </c>
      <c r="H508" s="138"/>
      <c r="I508" s="34"/>
      <c r="J508" s="5"/>
      <c r="K508" s="5"/>
    </row>
    <row r="509" spans="1:38" ht="15" customHeight="1" thickBot="1">
      <c r="A509" s="132" t="s">
        <v>254</v>
      </c>
      <c r="B509" s="168"/>
      <c r="C509" s="156"/>
      <c r="D509" s="150" t="s">
        <v>255</v>
      </c>
      <c r="E509" s="250">
        <f>SUM(E510+E530+E532+E535)</f>
        <v>1284222</v>
      </c>
      <c r="F509" s="118">
        <v>894.37</v>
      </c>
      <c r="G509" s="250">
        <f>SUM(G510+G530+G532+G535)</f>
        <v>1204222</v>
      </c>
      <c r="H509" s="250">
        <f>SUM(H510+H530+H532+H535)</f>
        <v>80000</v>
      </c>
      <c r="I509" s="34"/>
      <c r="J509" s="5"/>
      <c r="K509" s="5"/>
      <c r="L509" s="17"/>
      <c r="M509" s="17"/>
      <c r="N509" s="19"/>
      <c r="O509" s="15"/>
      <c r="P509" s="16"/>
      <c r="Q509" s="15"/>
      <c r="R509" s="9"/>
    </row>
    <row r="510" spans="1:38" ht="15" customHeight="1" thickBot="1">
      <c r="A510" s="362"/>
      <c r="B510" s="49" t="s">
        <v>256</v>
      </c>
      <c r="C510" s="203"/>
      <c r="D510" s="51" t="s">
        <v>257</v>
      </c>
      <c r="E510" s="184">
        <f>SUM(E511:E529)</f>
        <v>944768</v>
      </c>
      <c r="F510" s="118">
        <v>721.36</v>
      </c>
      <c r="G510" s="184">
        <f>SUM(G511:G529)</f>
        <v>864768</v>
      </c>
      <c r="H510" s="184">
        <f>SUM(H511:H529)</f>
        <v>80000</v>
      </c>
      <c r="I510" s="34"/>
      <c r="J510" s="5"/>
      <c r="K510" s="5"/>
      <c r="AE510" s="13"/>
      <c r="AF510" s="310"/>
      <c r="AG510" s="17"/>
      <c r="AH510" s="19"/>
      <c r="AI510" s="15"/>
      <c r="AJ510" s="16"/>
      <c r="AK510" s="15"/>
      <c r="AL510" s="9"/>
    </row>
    <row r="511" spans="1:38" ht="15" customHeight="1" thickBot="1">
      <c r="A511" s="363"/>
      <c r="B511" s="342"/>
      <c r="C511" s="207" t="s">
        <v>92</v>
      </c>
      <c r="D511" s="147" t="s">
        <v>258</v>
      </c>
      <c r="E511" s="199">
        <v>1755</v>
      </c>
      <c r="F511" s="118">
        <v>684.42</v>
      </c>
      <c r="G511" s="199">
        <v>1755</v>
      </c>
      <c r="H511" s="199"/>
      <c r="I511" s="34"/>
      <c r="J511" s="5"/>
      <c r="K511" s="5"/>
      <c r="AE511" s="13"/>
      <c r="AF511" s="310"/>
      <c r="AG511" s="17"/>
      <c r="AH511" s="19"/>
      <c r="AI511" s="15"/>
      <c r="AJ511" s="16"/>
      <c r="AK511" s="15"/>
      <c r="AL511" s="9"/>
    </row>
    <row r="512" spans="1:38" ht="15" customHeight="1" thickBot="1">
      <c r="A512" s="363"/>
      <c r="B512" s="343"/>
      <c r="C512" s="136" t="s">
        <v>90</v>
      </c>
      <c r="D512" s="137" t="s">
        <v>89</v>
      </c>
      <c r="E512" s="172">
        <f>511227-20000</f>
        <v>491227</v>
      </c>
      <c r="F512" s="118">
        <v>32</v>
      </c>
      <c r="G512" s="172">
        <f>E512</f>
        <v>491227</v>
      </c>
      <c r="H512" s="172"/>
      <c r="I512" s="34">
        <f>G512</f>
        <v>491227</v>
      </c>
      <c r="J512" s="5"/>
      <c r="K512" s="5"/>
      <c r="AE512" s="13"/>
      <c r="AF512" s="310"/>
      <c r="AG512" s="17"/>
      <c r="AH512" s="19"/>
      <c r="AI512" s="15"/>
      <c r="AJ512" s="16"/>
      <c r="AK512" s="15"/>
      <c r="AL512" s="9"/>
    </row>
    <row r="513" spans="1:38" ht="15" customHeight="1" thickBot="1">
      <c r="A513" s="363"/>
      <c r="B513" s="343"/>
      <c r="C513" s="139" t="s">
        <v>88</v>
      </c>
      <c r="D513" s="140" t="s">
        <v>87</v>
      </c>
      <c r="E513" s="173">
        <v>28000</v>
      </c>
      <c r="F513" s="118">
        <v>24151</v>
      </c>
      <c r="G513" s="173">
        <v>28000</v>
      </c>
      <c r="H513" s="173"/>
      <c r="I513" s="34">
        <f t="shared" ref="I513:I516" si="3">G513</f>
        <v>28000</v>
      </c>
      <c r="J513" s="5"/>
      <c r="K513" s="5"/>
      <c r="AE513" s="13"/>
      <c r="AF513" s="310"/>
      <c r="AG513" s="17"/>
      <c r="AH513" s="19"/>
      <c r="AI513" s="15"/>
      <c r="AJ513" s="16"/>
      <c r="AK513" s="15"/>
      <c r="AL513" s="9"/>
    </row>
    <row r="514" spans="1:38" ht="15" customHeight="1" thickBot="1">
      <c r="A514" s="363"/>
      <c r="B514" s="343"/>
      <c r="C514" s="139" t="s">
        <v>4</v>
      </c>
      <c r="D514" s="140" t="s">
        <v>3</v>
      </c>
      <c r="E514" s="173">
        <v>88541</v>
      </c>
      <c r="F514" s="118">
        <v>2020.91</v>
      </c>
      <c r="G514" s="173">
        <v>88541</v>
      </c>
      <c r="H514" s="173"/>
      <c r="I514" s="34">
        <f t="shared" si="3"/>
        <v>88541</v>
      </c>
      <c r="J514" s="5"/>
      <c r="K514" s="5"/>
      <c r="AE514" s="13"/>
      <c r="AF514" s="310"/>
      <c r="AG514" s="17"/>
      <c r="AH514" s="19"/>
      <c r="AI514" s="15"/>
      <c r="AJ514" s="16"/>
      <c r="AK514" s="15"/>
      <c r="AL514" s="9"/>
    </row>
    <row r="515" spans="1:38" ht="15" customHeight="1" thickBot="1">
      <c r="A515" s="363"/>
      <c r="B515" s="343"/>
      <c r="C515" s="139" t="s">
        <v>85</v>
      </c>
      <c r="D515" s="140" t="s">
        <v>84</v>
      </c>
      <c r="E515" s="173">
        <v>13995</v>
      </c>
      <c r="F515" s="122"/>
      <c r="G515" s="173">
        <v>13995</v>
      </c>
      <c r="H515" s="173"/>
      <c r="I515" s="34">
        <f t="shared" si="3"/>
        <v>13995</v>
      </c>
      <c r="J515" s="5"/>
      <c r="K515" s="5"/>
      <c r="AE515" s="13"/>
      <c r="AF515" s="310"/>
      <c r="AG515" s="17"/>
      <c r="AH515" s="19"/>
      <c r="AI515" s="15"/>
      <c r="AJ515" s="16"/>
      <c r="AK515" s="15"/>
      <c r="AL515" s="9"/>
    </row>
    <row r="516" spans="1:38" ht="15" customHeight="1" thickBot="1">
      <c r="A516" s="363"/>
      <c r="B516" s="343"/>
      <c r="C516" s="139" t="s">
        <v>83</v>
      </c>
      <c r="D516" s="140" t="s">
        <v>95</v>
      </c>
      <c r="E516" s="173">
        <f>G516</f>
        <v>26000</v>
      </c>
      <c r="F516" s="213">
        <f>SUM(F517:F517)</f>
        <v>272573.34000000003</v>
      </c>
      <c r="G516" s="173">
        <f>46000-20000</f>
        <v>26000</v>
      </c>
      <c r="H516" s="173"/>
      <c r="I516" s="34">
        <f t="shared" si="3"/>
        <v>26000</v>
      </c>
      <c r="J516" s="5"/>
      <c r="K516" s="5"/>
      <c r="L516" s="17"/>
      <c r="M516" s="17"/>
      <c r="N516" s="19"/>
      <c r="O516" s="15"/>
      <c r="P516" s="16"/>
      <c r="Q516" s="15"/>
      <c r="R516" s="9"/>
    </row>
    <row r="517" spans="1:38" ht="15" customHeight="1" thickBot="1">
      <c r="A517" s="363"/>
      <c r="B517" s="343"/>
      <c r="C517" s="139" t="s">
        <v>30</v>
      </c>
      <c r="D517" s="140" t="s">
        <v>29</v>
      </c>
      <c r="E517" s="173">
        <v>72900</v>
      </c>
      <c r="F517" s="251">
        <v>272573.34000000003</v>
      </c>
      <c r="G517" s="173">
        <v>72900</v>
      </c>
      <c r="H517" s="173"/>
      <c r="I517" s="34"/>
      <c r="J517" s="5"/>
      <c r="K517" s="5"/>
    </row>
    <row r="518" spans="1:38" ht="15" customHeight="1" thickBot="1">
      <c r="A518" s="363"/>
      <c r="B518" s="343"/>
      <c r="C518" s="139" t="s">
        <v>28</v>
      </c>
      <c r="D518" s="140" t="s">
        <v>27</v>
      </c>
      <c r="E518" s="173">
        <v>39000</v>
      </c>
      <c r="F518" s="252">
        <f>SUM(F519:F520)</f>
        <v>1411</v>
      </c>
      <c r="G518" s="173">
        <v>39000</v>
      </c>
      <c r="H518" s="173"/>
      <c r="I518" s="34"/>
      <c r="J518" s="5"/>
      <c r="K518" s="5"/>
    </row>
    <row r="519" spans="1:38" ht="15" customHeight="1">
      <c r="A519" s="363"/>
      <c r="B519" s="343"/>
      <c r="C519" s="139" t="s">
        <v>36</v>
      </c>
      <c r="D519" s="140" t="s">
        <v>81</v>
      </c>
      <c r="E519" s="173">
        <f>G519</f>
        <v>36000</v>
      </c>
      <c r="F519" s="253">
        <v>320</v>
      </c>
      <c r="G519" s="173">
        <f>46000-10000</f>
        <v>36000</v>
      </c>
      <c r="H519" s="173"/>
      <c r="I519" s="34"/>
      <c r="J519" s="5"/>
      <c r="K519" s="5"/>
    </row>
    <row r="520" spans="1:38" ht="15" customHeight="1" thickBot="1">
      <c r="A520" s="363"/>
      <c r="B520" s="343"/>
      <c r="C520" s="136" t="s">
        <v>80</v>
      </c>
      <c r="D520" s="137" t="s">
        <v>79</v>
      </c>
      <c r="E520" s="172">
        <v>350</v>
      </c>
      <c r="F520" s="254">
        <v>1091</v>
      </c>
      <c r="G520" s="172">
        <v>350</v>
      </c>
      <c r="H520" s="172"/>
      <c r="I520" s="34"/>
      <c r="J520" s="5"/>
      <c r="K520" s="5"/>
    </row>
    <row r="521" spans="1:38" ht="15" customHeight="1" thickBot="1">
      <c r="A521" s="363"/>
      <c r="B521" s="343"/>
      <c r="C521" s="136" t="s">
        <v>2</v>
      </c>
      <c r="D521" s="137" t="s">
        <v>26</v>
      </c>
      <c r="E521" s="172">
        <v>24900</v>
      </c>
      <c r="F521" s="252">
        <f>SUM(F522:F528)</f>
        <v>40083.919999999998</v>
      </c>
      <c r="G521" s="172">
        <v>24900</v>
      </c>
      <c r="H521" s="172"/>
      <c r="I521" s="34"/>
      <c r="J521" s="5"/>
      <c r="K521" s="5"/>
    </row>
    <row r="522" spans="1:38" ht="15" customHeight="1">
      <c r="A522" s="363"/>
      <c r="B522" s="343"/>
      <c r="C522" s="136" t="s">
        <v>78</v>
      </c>
      <c r="D522" s="137" t="s">
        <v>77</v>
      </c>
      <c r="E522" s="172">
        <v>2930</v>
      </c>
      <c r="F522" s="255"/>
      <c r="G522" s="172">
        <v>2930</v>
      </c>
      <c r="H522" s="172"/>
      <c r="I522" s="34"/>
      <c r="J522" s="5"/>
      <c r="K522" s="5"/>
    </row>
    <row r="523" spans="1:38" ht="30" customHeight="1">
      <c r="A523" s="363"/>
      <c r="B523" s="343"/>
      <c r="C523" s="139" t="s">
        <v>146</v>
      </c>
      <c r="D523" s="140" t="s">
        <v>323</v>
      </c>
      <c r="E523" s="173">
        <v>4200</v>
      </c>
      <c r="F523" s="86">
        <v>3258.6</v>
      </c>
      <c r="G523" s="173">
        <v>4200</v>
      </c>
      <c r="H523" s="173"/>
      <c r="I523" s="34"/>
      <c r="J523" s="5"/>
      <c r="K523" s="5"/>
    </row>
    <row r="524" spans="1:38" ht="30" customHeight="1">
      <c r="A524" s="363"/>
      <c r="B524" s="343"/>
      <c r="C524" s="139" t="s">
        <v>76</v>
      </c>
      <c r="D524" s="140" t="s">
        <v>324</v>
      </c>
      <c r="E524" s="173">
        <v>1700</v>
      </c>
      <c r="F524" s="118">
        <v>527.9</v>
      </c>
      <c r="G524" s="173">
        <v>1700</v>
      </c>
      <c r="H524" s="173"/>
      <c r="I524" s="34"/>
      <c r="J524" s="5"/>
      <c r="K524" s="5"/>
    </row>
    <row r="525" spans="1:38" ht="15" customHeight="1">
      <c r="A525" s="363"/>
      <c r="B525" s="343"/>
      <c r="C525" s="139" t="s">
        <v>75</v>
      </c>
      <c r="D525" s="140" t="s">
        <v>74</v>
      </c>
      <c r="E525" s="173">
        <v>1600</v>
      </c>
      <c r="F525" s="118">
        <v>23074</v>
      </c>
      <c r="G525" s="173">
        <v>1600</v>
      </c>
      <c r="H525" s="173"/>
      <c r="I525" s="34"/>
      <c r="J525" s="5"/>
      <c r="K525" s="5"/>
    </row>
    <row r="526" spans="1:38" ht="15" customHeight="1">
      <c r="A526" s="363"/>
      <c r="B526" s="343"/>
      <c r="C526" s="139" t="s">
        <v>25</v>
      </c>
      <c r="D526" s="140" t="s">
        <v>24</v>
      </c>
      <c r="E526" s="173">
        <v>4000</v>
      </c>
      <c r="F526" s="86">
        <v>3749.86</v>
      </c>
      <c r="G526" s="173">
        <v>4000</v>
      </c>
      <c r="H526" s="173"/>
      <c r="I526" s="34"/>
      <c r="J526" s="5"/>
      <c r="K526" s="5"/>
    </row>
    <row r="527" spans="1:38" ht="15" customHeight="1">
      <c r="A527" s="363"/>
      <c r="B527" s="343"/>
      <c r="C527" s="139" t="s">
        <v>73</v>
      </c>
      <c r="D527" s="140" t="s">
        <v>72</v>
      </c>
      <c r="E527" s="173">
        <v>27470</v>
      </c>
      <c r="F527" s="86">
        <v>9473.56</v>
      </c>
      <c r="G527" s="173">
        <v>27470</v>
      </c>
      <c r="H527" s="173"/>
      <c r="I527" s="34"/>
      <c r="J527" s="5"/>
      <c r="K527" s="5"/>
    </row>
    <row r="528" spans="1:38" ht="15" customHeight="1">
      <c r="A528" s="363"/>
      <c r="B528" s="343"/>
      <c r="C528" s="164" t="s">
        <v>71</v>
      </c>
      <c r="D528" s="160" t="s">
        <v>70</v>
      </c>
      <c r="E528" s="173">
        <v>200</v>
      </c>
      <c r="F528" s="118"/>
      <c r="G528" s="173">
        <v>200</v>
      </c>
      <c r="H528" s="173"/>
      <c r="I528" s="34"/>
      <c r="J528" s="5"/>
      <c r="K528" s="5"/>
    </row>
    <row r="529" spans="1:11" ht="15" customHeight="1" thickBot="1">
      <c r="A529" s="363"/>
      <c r="B529" s="344"/>
      <c r="C529" s="154" t="s">
        <v>69</v>
      </c>
      <c r="D529" s="143" t="s">
        <v>68</v>
      </c>
      <c r="E529" s="201">
        <v>80000</v>
      </c>
      <c r="F529" s="118"/>
      <c r="G529" s="201"/>
      <c r="H529" s="201">
        <v>80000</v>
      </c>
      <c r="I529" s="34"/>
      <c r="J529" s="5"/>
      <c r="K529" s="5"/>
    </row>
    <row r="530" spans="1:11" ht="15" customHeight="1" thickBot="1">
      <c r="A530" s="363"/>
      <c r="B530" s="49" t="s">
        <v>259</v>
      </c>
      <c r="C530" s="109"/>
      <c r="D530" s="51" t="s">
        <v>260</v>
      </c>
      <c r="E530" s="184">
        <f>SUM(E531:E531)</f>
        <v>250000</v>
      </c>
      <c r="F530" s="145" t="e">
        <f>SUM(F531+#REF!+F539+#REF!+F547+#REF!+F549+#REF!+F559+F561+F668)</f>
        <v>#REF!</v>
      </c>
      <c r="G530" s="184">
        <f>SUM(G531:G531)</f>
        <v>250000</v>
      </c>
      <c r="H530" s="186">
        <v>0</v>
      </c>
      <c r="I530" s="34"/>
      <c r="J530" s="5"/>
      <c r="K530" s="5"/>
    </row>
    <row r="531" spans="1:11" ht="15" customHeight="1" thickBot="1">
      <c r="A531" s="363"/>
      <c r="B531" s="256"/>
      <c r="C531" s="190" t="s">
        <v>261</v>
      </c>
      <c r="D531" s="257" t="s">
        <v>262</v>
      </c>
      <c r="E531" s="258">
        <f>350000-100000</f>
        <v>250000</v>
      </c>
      <c r="F531" s="127">
        <f>SUM(F532:F534)</f>
        <v>2877612.14</v>
      </c>
      <c r="G531" s="258">
        <f>350000-100000</f>
        <v>250000</v>
      </c>
      <c r="H531" s="258"/>
      <c r="I531" s="34"/>
      <c r="J531" s="5"/>
      <c r="K531" s="5"/>
    </row>
    <row r="532" spans="1:11" ht="15" customHeight="1" thickBot="1">
      <c r="A532" s="363"/>
      <c r="B532" s="49" t="s">
        <v>263</v>
      </c>
      <c r="C532" s="109"/>
      <c r="D532" s="51" t="s">
        <v>249</v>
      </c>
      <c r="E532" s="259">
        <f>SUM(E533:E534)</f>
        <v>2800</v>
      </c>
      <c r="F532" s="260">
        <v>118770</v>
      </c>
      <c r="G532" s="261">
        <f>SUM(G533:G534)</f>
        <v>2800</v>
      </c>
      <c r="H532" s="262">
        <f>SUM(H533:H534)</f>
        <v>0</v>
      </c>
      <c r="I532" s="34"/>
      <c r="J532" s="5"/>
      <c r="K532" s="5"/>
    </row>
    <row r="533" spans="1:11" ht="15" customHeight="1">
      <c r="A533" s="363"/>
      <c r="B533" s="334" t="s">
        <v>309</v>
      </c>
      <c r="C533" s="192" t="s">
        <v>2</v>
      </c>
      <c r="D533" s="137" t="s">
        <v>26</v>
      </c>
      <c r="E533" s="263">
        <v>1000</v>
      </c>
      <c r="F533" s="260">
        <v>2714922.14</v>
      </c>
      <c r="G533" s="264">
        <v>1000</v>
      </c>
      <c r="H533" s="265"/>
      <c r="I533" s="34"/>
      <c r="J533" s="5"/>
      <c r="K533" s="5"/>
    </row>
    <row r="534" spans="1:11" ht="15" customHeight="1" thickBot="1">
      <c r="A534" s="363"/>
      <c r="B534" s="336"/>
      <c r="C534" s="154" t="s">
        <v>71</v>
      </c>
      <c r="D534" s="160" t="s">
        <v>70</v>
      </c>
      <c r="E534" s="266">
        <v>1800</v>
      </c>
      <c r="F534" s="260">
        <f>SUM(F535)</f>
        <v>43920</v>
      </c>
      <c r="G534" s="267">
        <v>1800</v>
      </c>
      <c r="H534" s="268"/>
      <c r="I534" s="34"/>
      <c r="J534" s="5"/>
      <c r="K534" s="5"/>
    </row>
    <row r="535" spans="1:11" ht="15" customHeight="1" thickBot="1">
      <c r="A535" s="363"/>
      <c r="B535" s="49" t="s">
        <v>264</v>
      </c>
      <c r="C535" s="109"/>
      <c r="D535" s="51" t="s">
        <v>11</v>
      </c>
      <c r="E535" s="259">
        <f>SUM(E536:E540)</f>
        <v>86654</v>
      </c>
      <c r="F535" s="269">
        <v>43920</v>
      </c>
      <c r="G535" s="261">
        <f>SUM(G536:G540)</f>
        <v>86654</v>
      </c>
      <c r="H535" s="270">
        <f>SUM(H536:H540)</f>
        <v>0</v>
      </c>
      <c r="I535" s="34"/>
      <c r="J535" s="5"/>
      <c r="K535" s="5"/>
    </row>
    <row r="536" spans="1:11" ht="15" customHeight="1">
      <c r="A536" s="363"/>
      <c r="B536" s="342"/>
      <c r="C536" s="136" t="s">
        <v>4</v>
      </c>
      <c r="D536" s="137" t="s">
        <v>3</v>
      </c>
      <c r="E536" s="271">
        <v>8420</v>
      </c>
      <c r="F536" s="260">
        <v>1181332.21</v>
      </c>
      <c r="G536" s="272">
        <v>8420</v>
      </c>
      <c r="H536" s="273"/>
      <c r="I536" s="34">
        <f>G536</f>
        <v>8420</v>
      </c>
      <c r="J536" s="5"/>
      <c r="K536" s="5"/>
    </row>
    <row r="537" spans="1:11" ht="15" customHeight="1">
      <c r="A537" s="363"/>
      <c r="B537" s="343"/>
      <c r="C537" s="139" t="s">
        <v>85</v>
      </c>
      <c r="D537" s="140" t="s">
        <v>84</v>
      </c>
      <c r="E537" s="274">
        <v>1332</v>
      </c>
      <c r="F537" s="275"/>
      <c r="G537" s="276">
        <v>1332</v>
      </c>
      <c r="H537" s="277"/>
      <c r="I537" s="34">
        <f t="shared" ref="I537:I538" si="4">G537</f>
        <v>1332</v>
      </c>
      <c r="J537" s="5"/>
      <c r="K537" s="5"/>
    </row>
    <row r="538" spans="1:11" ht="15" customHeight="1" thickBot="1">
      <c r="A538" s="363"/>
      <c r="B538" s="343"/>
      <c r="C538" s="139" t="s">
        <v>83</v>
      </c>
      <c r="D538" s="140" t="s">
        <v>95</v>
      </c>
      <c r="E538" s="274">
        <f>G538</f>
        <v>43892</v>
      </c>
      <c r="F538" s="275"/>
      <c r="G538" s="276">
        <f>53892-10000</f>
        <v>43892</v>
      </c>
      <c r="H538" s="277"/>
      <c r="I538" s="34">
        <f t="shared" si="4"/>
        <v>43892</v>
      </c>
      <c r="J538" s="5"/>
      <c r="K538" s="5"/>
    </row>
    <row r="539" spans="1:11" ht="15" customHeight="1" thickBot="1">
      <c r="A539" s="363"/>
      <c r="B539" s="343"/>
      <c r="C539" s="136" t="s">
        <v>30</v>
      </c>
      <c r="D539" s="137" t="s">
        <v>29</v>
      </c>
      <c r="E539" s="263">
        <f>G539</f>
        <v>15000</v>
      </c>
      <c r="F539" s="195">
        <f>SUM(F540:F540)</f>
        <v>2529.1</v>
      </c>
      <c r="G539" s="264">
        <f>20000-5000</f>
        <v>15000</v>
      </c>
      <c r="H539" s="265"/>
      <c r="I539" s="34"/>
      <c r="J539" s="5"/>
      <c r="K539" s="5"/>
    </row>
    <row r="540" spans="1:11" ht="15" customHeight="1" thickBot="1">
      <c r="A540" s="364"/>
      <c r="B540" s="344"/>
      <c r="C540" s="136" t="s">
        <v>2</v>
      </c>
      <c r="D540" s="137" t="s">
        <v>26</v>
      </c>
      <c r="E540" s="263">
        <f>G540</f>
        <v>18010</v>
      </c>
      <c r="F540" s="269">
        <v>2529.1</v>
      </c>
      <c r="G540" s="264">
        <f>23010-5000</f>
        <v>18010</v>
      </c>
      <c r="H540" s="265"/>
      <c r="I540" s="34"/>
      <c r="J540" s="5"/>
      <c r="K540" s="5"/>
    </row>
    <row r="541" spans="1:11" ht="15" customHeight="1" thickBot="1">
      <c r="A541" s="132" t="s">
        <v>52</v>
      </c>
      <c r="B541" s="133"/>
      <c r="C541" s="134"/>
      <c r="D541" s="150" t="s">
        <v>51</v>
      </c>
      <c r="E541" s="135">
        <f>SUM(E542+E547+E549+E552+E556+E558+E564+E575+E577)</f>
        <v>40955292</v>
      </c>
      <c r="F541" s="278">
        <v>277.22000000000003</v>
      </c>
      <c r="G541" s="135">
        <f>SUM(G542+G547+G549+G552+G556+G558+G564+G575+G577)</f>
        <v>13007547</v>
      </c>
      <c r="H541" s="135">
        <f>SUM(H542+H547+H549+H552+H556+H558+H564+H575+H577)</f>
        <v>27947745</v>
      </c>
      <c r="I541" s="34"/>
      <c r="J541" s="5"/>
      <c r="K541" s="5"/>
    </row>
    <row r="542" spans="1:11" ht="15" customHeight="1" thickBot="1">
      <c r="A542" s="337"/>
      <c r="B542" s="157" t="s">
        <v>50</v>
      </c>
      <c r="C542" s="158"/>
      <c r="D542" s="217" t="s">
        <v>49</v>
      </c>
      <c r="E542" s="52">
        <f>SUM(E543:E545)</f>
        <v>4571178</v>
      </c>
      <c r="F542" s="118"/>
      <c r="G542" s="52">
        <f>SUM(G543:G545)</f>
        <v>4171178</v>
      </c>
      <c r="H542" s="52">
        <f>SUM(H543:H545)</f>
        <v>400000</v>
      </c>
      <c r="I542" s="34"/>
      <c r="J542" s="5"/>
      <c r="K542" s="5"/>
    </row>
    <row r="543" spans="1:11" ht="15" customHeight="1">
      <c r="A543" s="338"/>
      <c r="B543" s="345"/>
      <c r="C543" s="123" t="s">
        <v>36</v>
      </c>
      <c r="D543" s="65" t="s">
        <v>41</v>
      </c>
      <c r="E543" s="85">
        <f>50000+237540+50000+50000</f>
        <v>387540</v>
      </c>
      <c r="F543" s="122">
        <v>1825</v>
      </c>
      <c r="G543" s="85">
        <f>50000+237540+50000+50000</f>
        <v>387540</v>
      </c>
      <c r="H543" s="85"/>
      <c r="I543" s="34"/>
      <c r="J543" s="5"/>
      <c r="K543" s="5"/>
    </row>
    <row r="544" spans="1:11" ht="15" customHeight="1">
      <c r="A544" s="338"/>
      <c r="B544" s="346"/>
      <c r="C544" s="123" t="s">
        <v>2</v>
      </c>
      <c r="D544" s="62" t="s">
        <v>1</v>
      </c>
      <c r="E544" s="85">
        <f>G544</f>
        <v>3783638</v>
      </c>
      <c r="F544" s="122">
        <v>806.55</v>
      </c>
      <c r="G544" s="85">
        <f>3950000-20362+120000-120000-146000</f>
        <v>3783638</v>
      </c>
      <c r="H544" s="85"/>
      <c r="I544" s="34"/>
      <c r="J544" s="5"/>
      <c r="K544" s="5"/>
    </row>
    <row r="545" spans="1:11" ht="15" customHeight="1">
      <c r="A545" s="338"/>
      <c r="B545" s="346"/>
      <c r="C545" s="123" t="s">
        <v>34</v>
      </c>
      <c r="D545" s="62" t="s">
        <v>46</v>
      </c>
      <c r="E545" s="85">
        <f>E546</f>
        <v>400000</v>
      </c>
      <c r="F545" s="118">
        <v>18306.23</v>
      </c>
      <c r="G545" s="85"/>
      <c r="H545" s="85">
        <f>H546</f>
        <v>400000</v>
      </c>
      <c r="I545" s="34"/>
      <c r="J545" s="5"/>
      <c r="K545" s="5"/>
    </row>
    <row r="546" spans="1:11" ht="30" customHeight="1" thickBot="1">
      <c r="A546" s="338"/>
      <c r="B546" s="347"/>
      <c r="C546" s="279"/>
      <c r="D546" s="247" t="s">
        <v>397</v>
      </c>
      <c r="E546" s="248">
        <v>400000</v>
      </c>
      <c r="F546" s="57">
        <v>695780.22</v>
      </c>
      <c r="G546" s="248"/>
      <c r="H546" s="248">
        <v>400000</v>
      </c>
      <c r="I546" s="34"/>
      <c r="J546" s="5"/>
      <c r="K546" s="5"/>
    </row>
    <row r="547" spans="1:11" ht="15" customHeight="1" thickBot="1">
      <c r="A547" s="338"/>
      <c r="B547" s="49" t="s">
        <v>48</v>
      </c>
      <c r="C547" s="109"/>
      <c r="D547" s="51" t="s">
        <v>47</v>
      </c>
      <c r="E547" s="52">
        <f>E548</f>
        <v>2087000</v>
      </c>
      <c r="F547" s="127">
        <f>SUM(F548)</f>
        <v>0</v>
      </c>
      <c r="G547" s="52">
        <f>G548</f>
        <v>2087000</v>
      </c>
      <c r="H547" s="52">
        <f>H548</f>
        <v>0</v>
      </c>
      <c r="I547" s="34"/>
      <c r="J547" s="5"/>
      <c r="K547" s="5"/>
    </row>
    <row r="548" spans="1:11" ht="15" customHeight="1" thickBot="1">
      <c r="A548" s="338"/>
      <c r="B548" s="256"/>
      <c r="C548" s="123" t="s">
        <v>2</v>
      </c>
      <c r="D548" s="62" t="s">
        <v>26</v>
      </c>
      <c r="E548" s="280">
        <f>2087000</f>
        <v>2087000</v>
      </c>
      <c r="F548" s="57"/>
      <c r="G548" s="280">
        <f>2087000</f>
        <v>2087000</v>
      </c>
      <c r="H548" s="280"/>
      <c r="I548" s="34"/>
      <c r="J548" s="5"/>
      <c r="K548" s="5"/>
    </row>
    <row r="549" spans="1:11" ht="15" customHeight="1" thickBot="1">
      <c r="A549" s="338"/>
      <c r="B549" s="49" t="s">
        <v>45</v>
      </c>
      <c r="C549" s="109"/>
      <c r="D549" s="51" t="s">
        <v>44</v>
      </c>
      <c r="E549" s="52">
        <f>SUM(E550:E551)</f>
        <v>475500</v>
      </c>
      <c r="F549" s="145">
        <f>SUM(F550:F552)</f>
        <v>801338.02999999991</v>
      </c>
      <c r="G549" s="52">
        <f>SUM(G550:G551)</f>
        <v>475500</v>
      </c>
      <c r="H549" s="52">
        <f>SUM(H550:H551)</f>
        <v>0</v>
      </c>
      <c r="I549" s="34"/>
      <c r="J549" s="5"/>
      <c r="K549" s="5"/>
    </row>
    <row r="550" spans="1:11" ht="15" customHeight="1">
      <c r="A550" s="338"/>
      <c r="B550" s="348"/>
      <c r="C550" s="123" t="s">
        <v>30</v>
      </c>
      <c r="D550" s="62" t="s">
        <v>29</v>
      </c>
      <c r="E550" s="85">
        <f>5500</f>
        <v>5500</v>
      </c>
      <c r="F550" s="57">
        <v>671825.07</v>
      </c>
      <c r="G550" s="85">
        <f>5500</f>
        <v>5500</v>
      </c>
      <c r="H550" s="85"/>
      <c r="I550" s="34"/>
      <c r="J550" s="5"/>
      <c r="K550" s="5"/>
    </row>
    <row r="551" spans="1:11" ht="15" customHeight="1" thickBot="1">
      <c r="A551" s="338"/>
      <c r="B551" s="349"/>
      <c r="C551" s="114" t="s">
        <v>2</v>
      </c>
      <c r="D551" s="55" t="s">
        <v>26</v>
      </c>
      <c r="E551" s="56">
        <f>SUM(G551)</f>
        <v>470000</v>
      </c>
      <c r="F551" s="118">
        <v>112435.96</v>
      </c>
      <c r="G551" s="56">
        <v>470000</v>
      </c>
      <c r="H551" s="56"/>
      <c r="I551" s="34"/>
      <c r="J551" s="5"/>
      <c r="K551" s="5"/>
    </row>
    <row r="552" spans="1:11" ht="15" customHeight="1" thickBot="1">
      <c r="A552" s="338"/>
      <c r="B552" s="49" t="s">
        <v>43</v>
      </c>
      <c r="C552" s="49"/>
      <c r="D552" s="51" t="s">
        <v>42</v>
      </c>
      <c r="E552" s="52">
        <f>SUM(E553:E555)</f>
        <v>951606</v>
      </c>
      <c r="F552" s="86">
        <v>17077</v>
      </c>
      <c r="G552" s="52">
        <f>SUM(G553:G555)</f>
        <v>951606</v>
      </c>
      <c r="H552" s="52">
        <f>SUM(H553:H555)</f>
        <v>0</v>
      </c>
      <c r="I552" s="34"/>
      <c r="J552" s="5"/>
      <c r="K552" s="5"/>
    </row>
    <row r="553" spans="1:11" ht="15" customHeight="1">
      <c r="A553" s="338"/>
      <c r="B553" s="334"/>
      <c r="C553" s="123" t="s">
        <v>30</v>
      </c>
      <c r="D553" s="62" t="s">
        <v>29</v>
      </c>
      <c r="E553" s="85">
        <f>2000+16421</f>
        <v>18421</v>
      </c>
      <c r="F553" s="281">
        <v>47271.33</v>
      </c>
      <c r="G553" s="85">
        <f>2000+16421</f>
        <v>18421</v>
      </c>
      <c r="H553" s="85"/>
      <c r="I553" s="34"/>
      <c r="J553" s="5"/>
      <c r="K553" s="5"/>
    </row>
    <row r="554" spans="1:11" ht="15" customHeight="1">
      <c r="A554" s="338"/>
      <c r="B554" s="335"/>
      <c r="C554" s="116" t="s">
        <v>36</v>
      </c>
      <c r="D554" s="65" t="s">
        <v>41</v>
      </c>
      <c r="E554" s="117">
        <f>30000</f>
        <v>30000</v>
      </c>
      <c r="F554" s="282">
        <v>8342</v>
      </c>
      <c r="G554" s="117">
        <f>30000</f>
        <v>30000</v>
      </c>
      <c r="H554" s="117"/>
      <c r="I554" s="34"/>
      <c r="J554" s="5"/>
      <c r="K554" s="5"/>
    </row>
    <row r="555" spans="1:11" ht="15" customHeight="1" thickBot="1">
      <c r="A555" s="338"/>
      <c r="B555" s="336"/>
      <c r="C555" s="119" t="s">
        <v>2</v>
      </c>
      <c r="D555" s="55" t="s">
        <v>26</v>
      </c>
      <c r="E555" s="121">
        <f>880000+8757+14428</f>
        <v>903185</v>
      </c>
      <c r="F555" s="282">
        <v>7022.91</v>
      </c>
      <c r="G555" s="121">
        <f>880000+8757+14428</f>
        <v>903185</v>
      </c>
      <c r="H555" s="121"/>
      <c r="I555" s="34"/>
      <c r="J555" s="5"/>
      <c r="K555" s="5"/>
    </row>
    <row r="556" spans="1:11" ht="15" customHeight="1" thickBot="1">
      <c r="A556" s="338"/>
      <c r="B556" s="49" t="s">
        <v>40</v>
      </c>
      <c r="C556" s="109"/>
      <c r="D556" s="51" t="s">
        <v>39</v>
      </c>
      <c r="E556" s="52">
        <f>SUM(E557)</f>
        <v>250000</v>
      </c>
      <c r="F556" s="282">
        <v>177.96</v>
      </c>
      <c r="G556" s="52">
        <f>SUM(G557)</f>
        <v>250000</v>
      </c>
      <c r="H556" s="52">
        <f>SUM(H557)</f>
        <v>0</v>
      </c>
      <c r="I556" s="34"/>
      <c r="J556" s="5"/>
      <c r="K556" s="5"/>
    </row>
    <row r="557" spans="1:11" ht="15" customHeight="1" thickBot="1">
      <c r="A557" s="338"/>
      <c r="B557" s="317"/>
      <c r="C557" s="114" t="s">
        <v>2</v>
      </c>
      <c r="D557" s="55" t="s">
        <v>26</v>
      </c>
      <c r="E557" s="56">
        <f>G557</f>
        <v>250000</v>
      </c>
      <c r="F557" s="282">
        <v>1906125</v>
      </c>
      <c r="G557" s="56">
        <f>300000-50000</f>
        <v>250000</v>
      </c>
      <c r="H557" s="56"/>
      <c r="I557" s="34"/>
      <c r="J557" s="5"/>
      <c r="K557" s="5"/>
    </row>
    <row r="558" spans="1:11" ht="15" customHeight="1" thickBot="1">
      <c r="A558" s="338"/>
      <c r="B558" s="49" t="s">
        <v>38</v>
      </c>
      <c r="C558" s="109"/>
      <c r="D558" s="51" t="s">
        <v>37</v>
      </c>
      <c r="E558" s="52">
        <f>SUM(E559:E562)</f>
        <v>1480000</v>
      </c>
      <c r="F558" s="283">
        <v>336375</v>
      </c>
      <c r="G558" s="52">
        <f>SUM(G559:G562)</f>
        <v>1280000</v>
      </c>
      <c r="H558" s="52">
        <f>SUM(H559:H562)</f>
        <v>200000</v>
      </c>
      <c r="I558" s="34"/>
      <c r="J558" s="5"/>
      <c r="K558" s="5"/>
    </row>
    <row r="559" spans="1:11" ht="15" customHeight="1" thickBot="1">
      <c r="A559" s="338"/>
      <c r="B559" s="334"/>
      <c r="C559" s="123" t="s">
        <v>28</v>
      </c>
      <c r="D559" s="62" t="s">
        <v>27</v>
      </c>
      <c r="E559" s="85">
        <f>1050000-50000-20000</f>
        <v>980000</v>
      </c>
      <c r="F559" s="127">
        <f>SUM(F560)</f>
        <v>1685223</v>
      </c>
      <c r="G559" s="85">
        <f>E559</f>
        <v>980000</v>
      </c>
      <c r="H559" s="85"/>
      <c r="I559" s="34"/>
      <c r="J559" s="5"/>
      <c r="K559" s="5"/>
    </row>
    <row r="560" spans="1:11" ht="15" customHeight="1" thickBot="1">
      <c r="A560" s="338"/>
      <c r="B560" s="335"/>
      <c r="C560" s="116" t="s">
        <v>36</v>
      </c>
      <c r="D560" s="65" t="s">
        <v>35</v>
      </c>
      <c r="E560" s="117">
        <f>G560</f>
        <v>220000</v>
      </c>
      <c r="F560" s="284">
        <v>1685223</v>
      </c>
      <c r="G560" s="117">
        <f>220000</f>
        <v>220000</v>
      </c>
      <c r="H560" s="117"/>
      <c r="I560" s="34"/>
      <c r="J560" s="5"/>
      <c r="K560" s="5"/>
    </row>
    <row r="561" spans="1:11" ht="15" customHeight="1" thickBot="1">
      <c r="A561" s="338"/>
      <c r="B561" s="335"/>
      <c r="C561" s="116" t="s">
        <v>2</v>
      </c>
      <c r="D561" s="62" t="s">
        <v>1</v>
      </c>
      <c r="E561" s="117">
        <v>80000</v>
      </c>
      <c r="F561" s="127" t="e">
        <f>SUM(F562:F566)</f>
        <v>#REF!</v>
      </c>
      <c r="G561" s="117">
        <v>80000</v>
      </c>
      <c r="H561" s="117"/>
      <c r="I561" s="34"/>
      <c r="J561" s="5"/>
      <c r="K561" s="5"/>
    </row>
    <row r="562" spans="1:11" ht="15" customHeight="1">
      <c r="A562" s="338"/>
      <c r="B562" s="335"/>
      <c r="C562" s="116" t="s">
        <v>34</v>
      </c>
      <c r="D562" s="65" t="s">
        <v>14</v>
      </c>
      <c r="E562" s="117">
        <f>E563</f>
        <v>200000</v>
      </c>
      <c r="F562" s="86">
        <v>4196.84</v>
      </c>
      <c r="G562" s="117"/>
      <c r="H562" s="117">
        <f>H563</f>
        <v>200000</v>
      </c>
      <c r="I562" s="34"/>
      <c r="J562" s="5"/>
      <c r="K562" s="5"/>
    </row>
    <row r="563" spans="1:11" ht="30" customHeight="1" thickBot="1">
      <c r="A563" s="338"/>
      <c r="B563" s="335"/>
      <c r="C563" s="114"/>
      <c r="D563" s="163" t="s">
        <v>347</v>
      </c>
      <c r="E563" s="285">
        <f>300000-100000</f>
        <v>200000</v>
      </c>
      <c r="F563" s="86">
        <v>1792.32</v>
      </c>
      <c r="G563" s="285"/>
      <c r="H563" s="285">
        <f>E563</f>
        <v>200000</v>
      </c>
      <c r="I563" s="34"/>
      <c r="J563" s="5"/>
      <c r="K563" s="5"/>
    </row>
    <row r="564" spans="1:11" ht="15" customHeight="1" thickBot="1">
      <c r="A564" s="338"/>
      <c r="B564" s="49" t="s">
        <v>33</v>
      </c>
      <c r="C564" s="203"/>
      <c r="D564" s="51" t="s">
        <v>32</v>
      </c>
      <c r="E564" s="52">
        <f>SUM(E565:E574)</f>
        <v>27172796</v>
      </c>
      <c r="F564" s="86">
        <v>12564.14</v>
      </c>
      <c r="G564" s="52">
        <f>SUM(G565:G574)</f>
        <v>94967</v>
      </c>
      <c r="H564" s="52">
        <f>SUM(H565:H574)</f>
        <v>27077829</v>
      </c>
      <c r="I564" s="34"/>
      <c r="J564" s="5"/>
      <c r="K564" s="5"/>
    </row>
    <row r="565" spans="1:11" ht="15" customHeight="1">
      <c r="A565" s="338"/>
      <c r="B565" s="342"/>
      <c r="C565" s="164" t="s">
        <v>291</v>
      </c>
      <c r="D565" s="140" t="s">
        <v>89</v>
      </c>
      <c r="E565" s="286">
        <v>63240</v>
      </c>
      <c r="F565" s="118">
        <v>12759</v>
      </c>
      <c r="G565" s="286">
        <v>63240</v>
      </c>
      <c r="H565" s="286"/>
      <c r="I565" s="34">
        <f>G565</f>
        <v>63240</v>
      </c>
      <c r="J565" s="5"/>
      <c r="K565" s="5"/>
    </row>
    <row r="566" spans="1:11" ht="15" customHeight="1">
      <c r="A566" s="338"/>
      <c r="B566" s="343"/>
      <c r="C566" s="164" t="s">
        <v>236</v>
      </c>
      <c r="D566" s="140" t="s">
        <v>89</v>
      </c>
      <c r="E566" s="286">
        <v>11160</v>
      </c>
      <c r="F566" s="122" t="e">
        <f>SUM(#REF!)</f>
        <v>#REF!</v>
      </c>
      <c r="G566" s="286">
        <v>11160</v>
      </c>
      <c r="H566" s="286"/>
      <c r="I566" s="34">
        <f t="shared" ref="I566:I572" si="5">G566</f>
        <v>11160</v>
      </c>
      <c r="J566" s="5"/>
      <c r="K566" s="5"/>
    </row>
    <row r="567" spans="1:11" ht="15" customHeight="1">
      <c r="A567" s="338"/>
      <c r="B567" s="343"/>
      <c r="C567" s="164" t="s">
        <v>293</v>
      </c>
      <c r="D567" s="140" t="s">
        <v>87</v>
      </c>
      <c r="E567" s="286">
        <f>5376</f>
        <v>5376</v>
      </c>
      <c r="F567" s="122"/>
      <c r="G567" s="286">
        <f>5376</f>
        <v>5376</v>
      </c>
      <c r="H567" s="286"/>
      <c r="I567" s="34">
        <f t="shared" si="5"/>
        <v>5376</v>
      </c>
      <c r="J567" s="5"/>
      <c r="K567" s="5"/>
    </row>
    <row r="568" spans="1:11" ht="15" customHeight="1">
      <c r="A568" s="338"/>
      <c r="B568" s="343"/>
      <c r="C568" s="164" t="s">
        <v>237</v>
      </c>
      <c r="D568" s="140" t="s">
        <v>87</v>
      </c>
      <c r="E568" s="286">
        <f>949</f>
        <v>949</v>
      </c>
      <c r="F568" s="122"/>
      <c r="G568" s="286">
        <f>949</f>
        <v>949</v>
      </c>
      <c r="H568" s="286"/>
      <c r="I568" s="34">
        <f t="shared" si="5"/>
        <v>949</v>
      </c>
      <c r="J568" s="5"/>
      <c r="K568" s="5"/>
    </row>
    <row r="569" spans="1:11" ht="15" customHeight="1">
      <c r="A569" s="338"/>
      <c r="B569" s="343"/>
      <c r="C569" s="164" t="s">
        <v>294</v>
      </c>
      <c r="D569" s="140" t="s">
        <v>135</v>
      </c>
      <c r="E569" s="286">
        <f>10423</f>
        <v>10423</v>
      </c>
      <c r="F569" s="122"/>
      <c r="G569" s="286">
        <f>10423</f>
        <v>10423</v>
      </c>
      <c r="H569" s="286"/>
      <c r="I569" s="34">
        <f t="shared" si="5"/>
        <v>10423</v>
      </c>
      <c r="J569" s="5"/>
      <c r="K569" s="5"/>
    </row>
    <row r="570" spans="1:11" ht="15" customHeight="1">
      <c r="A570" s="338"/>
      <c r="B570" s="343"/>
      <c r="C570" s="164" t="s">
        <v>238</v>
      </c>
      <c r="D570" s="140" t="s">
        <v>135</v>
      </c>
      <c r="E570" s="286">
        <f>1840</f>
        <v>1840</v>
      </c>
      <c r="F570" s="122"/>
      <c r="G570" s="286">
        <f>1840</f>
        <v>1840</v>
      </c>
      <c r="H570" s="286"/>
      <c r="I570" s="34">
        <f t="shared" si="5"/>
        <v>1840</v>
      </c>
      <c r="J570" s="5"/>
      <c r="K570" s="5"/>
    </row>
    <row r="571" spans="1:11" ht="15" customHeight="1">
      <c r="A571" s="338"/>
      <c r="B571" s="343"/>
      <c r="C571" s="164" t="s">
        <v>295</v>
      </c>
      <c r="D571" s="140" t="s">
        <v>84</v>
      </c>
      <c r="E571" s="286">
        <f>1682</f>
        <v>1682</v>
      </c>
      <c r="F571" s="122"/>
      <c r="G571" s="286">
        <f>1682</f>
        <v>1682</v>
      </c>
      <c r="H571" s="286"/>
      <c r="I571" s="34">
        <f t="shared" si="5"/>
        <v>1682</v>
      </c>
      <c r="J571" s="5"/>
      <c r="K571" s="5"/>
    </row>
    <row r="572" spans="1:11" ht="15" customHeight="1">
      <c r="A572" s="338"/>
      <c r="B572" s="343"/>
      <c r="C572" s="164" t="s">
        <v>239</v>
      </c>
      <c r="D572" s="140" t="s">
        <v>84</v>
      </c>
      <c r="E572" s="286">
        <f>297</f>
        <v>297</v>
      </c>
      <c r="F572" s="122"/>
      <c r="G572" s="286">
        <f>297</f>
        <v>297</v>
      </c>
      <c r="H572" s="286"/>
      <c r="I572" s="34">
        <f t="shared" si="5"/>
        <v>297</v>
      </c>
      <c r="J572" s="5"/>
      <c r="K572" s="5"/>
    </row>
    <row r="573" spans="1:11" ht="45" customHeight="1" thickBot="1">
      <c r="A573" s="338"/>
      <c r="B573" s="343"/>
      <c r="C573" s="164" t="s">
        <v>302</v>
      </c>
      <c r="D573" s="140" t="s">
        <v>266</v>
      </c>
      <c r="E573" s="286">
        <f>4342683</f>
        <v>4342683</v>
      </c>
      <c r="F573" s="122"/>
      <c r="G573" s="286"/>
      <c r="H573" s="286">
        <f>4342683</f>
        <v>4342683</v>
      </c>
      <c r="I573" s="34"/>
      <c r="J573" s="5"/>
      <c r="K573" s="5"/>
    </row>
    <row r="574" spans="1:11" ht="45" customHeight="1" thickBot="1">
      <c r="A574" s="338"/>
      <c r="B574" s="344"/>
      <c r="C574" s="154" t="s">
        <v>277</v>
      </c>
      <c r="D574" s="143" t="s">
        <v>266</v>
      </c>
      <c r="E574" s="183">
        <f>22735146</f>
        <v>22735146</v>
      </c>
      <c r="F574" s="127">
        <f>SUM(F575+F579+F581+F583)</f>
        <v>1388310</v>
      </c>
      <c r="G574" s="183"/>
      <c r="H574" s="183">
        <f>22735146</f>
        <v>22735146</v>
      </c>
      <c r="I574" s="34"/>
      <c r="J574" s="5"/>
      <c r="K574" s="5"/>
    </row>
    <row r="575" spans="1:11" ht="30" customHeight="1" thickBot="1">
      <c r="A575" s="338"/>
      <c r="B575" s="49" t="s">
        <v>303</v>
      </c>
      <c r="C575" s="287"/>
      <c r="D575" s="51" t="s">
        <v>305</v>
      </c>
      <c r="E575" s="52">
        <f>SUM(E576)</f>
        <v>3616196</v>
      </c>
      <c r="F575" s="127">
        <f>SUM(F576:F577)</f>
        <v>707800</v>
      </c>
      <c r="G575" s="52">
        <f>SUM(G576)</f>
        <v>3616196</v>
      </c>
      <c r="H575" s="52">
        <f>SUM(H576)</f>
        <v>0</v>
      </c>
      <c r="I575" s="34"/>
      <c r="J575" s="5"/>
      <c r="K575" s="5"/>
    </row>
    <row r="576" spans="1:11" ht="15" customHeight="1" thickBot="1">
      <c r="A576" s="338"/>
      <c r="B576" s="320"/>
      <c r="C576" s="317" t="s">
        <v>304</v>
      </c>
      <c r="D576" s="160" t="s">
        <v>306</v>
      </c>
      <c r="E576" s="288">
        <f>3616196</f>
        <v>3616196</v>
      </c>
      <c r="F576" s="86">
        <v>707800</v>
      </c>
      <c r="G576" s="288">
        <f>3616196</f>
        <v>3616196</v>
      </c>
      <c r="H576" s="288"/>
      <c r="I576" s="34"/>
      <c r="J576" s="5"/>
      <c r="K576" s="5"/>
    </row>
    <row r="577" spans="1:11" ht="15" customHeight="1" thickBot="1">
      <c r="A577" s="338"/>
      <c r="B577" s="49" t="s">
        <v>31</v>
      </c>
      <c r="C577" s="287"/>
      <c r="D577" s="51" t="s">
        <v>11</v>
      </c>
      <c r="E577" s="52">
        <f>SUM(E578:E582)</f>
        <v>351016</v>
      </c>
      <c r="F577" s="86">
        <f>SUM(F578)</f>
        <v>0</v>
      </c>
      <c r="G577" s="52">
        <f>SUM(G578:G582)</f>
        <v>81100</v>
      </c>
      <c r="H577" s="52">
        <f>SUM(H578:H582)</f>
        <v>269916</v>
      </c>
      <c r="I577" s="34"/>
      <c r="J577" s="5"/>
      <c r="K577" s="5"/>
    </row>
    <row r="578" spans="1:11" ht="15" customHeight="1" thickBot="1">
      <c r="A578" s="338"/>
      <c r="B578" s="350"/>
      <c r="C578" s="114" t="s">
        <v>30</v>
      </c>
      <c r="D578" s="62" t="s">
        <v>29</v>
      </c>
      <c r="E578" s="85">
        <f>15000+15000</f>
        <v>30000</v>
      </c>
      <c r="F578" s="57"/>
      <c r="G578" s="85">
        <f>15000+15000</f>
        <v>30000</v>
      </c>
      <c r="H578" s="85"/>
      <c r="I578" s="34"/>
      <c r="J578" s="5"/>
      <c r="K578" s="5"/>
    </row>
    <row r="579" spans="1:11" ht="15" customHeight="1" thickBot="1">
      <c r="A579" s="338"/>
      <c r="B579" s="351"/>
      <c r="C579" s="162" t="s">
        <v>28</v>
      </c>
      <c r="D579" s="62" t="s">
        <v>27</v>
      </c>
      <c r="E579" s="85">
        <f>4700</f>
        <v>4700</v>
      </c>
      <c r="F579" s="127">
        <f>SUM(F580)</f>
        <v>480650</v>
      </c>
      <c r="G579" s="85">
        <f>4700</f>
        <v>4700</v>
      </c>
      <c r="H579" s="85"/>
      <c r="I579" s="34"/>
      <c r="J579" s="5"/>
      <c r="K579" s="5"/>
    </row>
    <row r="580" spans="1:11" ht="15" customHeight="1" thickBot="1">
      <c r="A580" s="338"/>
      <c r="B580" s="351"/>
      <c r="C580" s="123" t="s">
        <v>2</v>
      </c>
      <c r="D580" s="62" t="s">
        <v>26</v>
      </c>
      <c r="E580" s="85">
        <f>25000+8000</f>
        <v>33000</v>
      </c>
      <c r="F580" s="57">
        <v>480650</v>
      </c>
      <c r="G580" s="85">
        <f>25000+8000</f>
        <v>33000</v>
      </c>
      <c r="H580" s="85"/>
      <c r="I580" s="34"/>
      <c r="J580" s="5"/>
      <c r="K580" s="5"/>
    </row>
    <row r="581" spans="1:11" ht="15" customHeight="1" thickBot="1">
      <c r="A581" s="338"/>
      <c r="B581" s="351"/>
      <c r="C581" s="123" t="s">
        <v>25</v>
      </c>
      <c r="D581" s="65" t="s">
        <v>24</v>
      </c>
      <c r="E581" s="117">
        <f>13400</f>
        <v>13400</v>
      </c>
      <c r="F581" s="53">
        <f>SUM(F582)</f>
        <v>7000</v>
      </c>
      <c r="G581" s="117">
        <f>13400</f>
        <v>13400</v>
      </c>
      <c r="H581" s="117"/>
      <c r="I581" s="34"/>
      <c r="J581" s="5"/>
      <c r="K581" s="5"/>
    </row>
    <row r="582" spans="1:11" ht="15" customHeight="1" thickBot="1">
      <c r="A582" s="338"/>
      <c r="B582" s="351"/>
      <c r="C582" s="123" t="s">
        <v>34</v>
      </c>
      <c r="D582" s="65" t="s">
        <v>14</v>
      </c>
      <c r="E582" s="121">
        <f>SUM(E583:E587)</f>
        <v>269916</v>
      </c>
      <c r="F582" s="289">
        <v>7000</v>
      </c>
      <c r="G582" s="121"/>
      <c r="H582" s="121">
        <f>SUM(H583:H587)</f>
        <v>269916</v>
      </c>
      <c r="I582" s="34"/>
      <c r="J582" s="5"/>
      <c r="K582" s="5"/>
    </row>
    <row r="583" spans="1:11" ht="30" customHeight="1" thickBot="1">
      <c r="A583" s="338"/>
      <c r="B583" s="351"/>
      <c r="C583" s="328"/>
      <c r="D583" s="163" t="s">
        <v>380</v>
      </c>
      <c r="E583" s="285">
        <v>50000</v>
      </c>
      <c r="F583" s="290">
        <f>SUM(F584+F587+F591)</f>
        <v>192860</v>
      </c>
      <c r="G583" s="285"/>
      <c r="H583" s="285">
        <v>50000</v>
      </c>
      <c r="I583" s="34"/>
      <c r="J583" s="5"/>
      <c r="K583" s="5"/>
    </row>
    <row r="584" spans="1:11" ht="17.25" customHeight="1">
      <c r="A584" s="338"/>
      <c r="B584" s="351"/>
      <c r="C584" s="329"/>
      <c r="D584" s="163" t="s">
        <v>391</v>
      </c>
      <c r="E584" s="285">
        <v>40409</v>
      </c>
      <c r="F584" s="291">
        <v>192860</v>
      </c>
      <c r="G584" s="285"/>
      <c r="H584" s="285">
        <v>40409</v>
      </c>
      <c r="I584" s="34"/>
      <c r="J584" s="5"/>
      <c r="K584" s="5"/>
    </row>
    <row r="585" spans="1:11" ht="30" customHeight="1">
      <c r="A585" s="338"/>
      <c r="B585" s="351"/>
      <c r="C585" s="329"/>
      <c r="D585" s="163" t="s">
        <v>348</v>
      </c>
      <c r="E585" s="285">
        <v>100000</v>
      </c>
      <c r="F585" s="291"/>
      <c r="G585" s="285"/>
      <c r="H585" s="285">
        <v>100000</v>
      </c>
      <c r="I585" s="34"/>
      <c r="J585" s="5"/>
      <c r="K585" s="5"/>
    </row>
    <row r="586" spans="1:11" ht="15" customHeight="1">
      <c r="A586" s="338"/>
      <c r="B586" s="351"/>
      <c r="C586" s="329"/>
      <c r="D586" s="163" t="s">
        <v>381</v>
      </c>
      <c r="E586" s="285">
        <v>30000</v>
      </c>
      <c r="F586" s="291"/>
      <c r="G586" s="285"/>
      <c r="H586" s="285">
        <v>30000</v>
      </c>
      <c r="I586" s="34"/>
      <c r="J586" s="5"/>
      <c r="K586" s="5"/>
    </row>
    <row r="587" spans="1:11" ht="30" customHeight="1" thickBot="1">
      <c r="A587" s="339"/>
      <c r="B587" s="352"/>
      <c r="C587" s="330"/>
      <c r="D587" s="163" t="s">
        <v>398</v>
      </c>
      <c r="E587" s="285">
        <v>49507</v>
      </c>
      <c r="F587" s="124">
        <f>SUM(F588)</f>
        <v>0</v>
      </c>
      <c r="G587" s="285"/>
      <c r="H587" s="285">
        <v>49507</v>
      </c>
      <c r="I587" s="34"/>
      <c r="J587" s="5"/>
      <c r="K587" s="5"/>
    </row>
    <row r="588" spans="1:11" ht="15" customHeight="1" thickBot="1">
      <c r="A588" s="215" t="s">
        <v>23</v>
      </c>
      <c r="B588" s="157"/>
      <c r="C588" s="203"/>
      <c r="D588" s="51" t="s">
        <v>22</v>
      </c>
      <c r="E588" s="52">
        <f>SUM(E589+E591+E593+E595+E597)</f>
        <v>7484034</v>
      </c>
      <c r="F588" s="118"/>
      <c r="G588" s="52">
        <f>SUM(G589+G591+G593+G595+G597)</f>
        <v>2955358</v>
      </c>
      <c r="H588" s="52">
        <f>SUM(H589+H591+H593+H595+H597)</f>
        <v>4528676</v>
      </c>
      <c r="I588" s="34"/>
      <c r="J588" s="5"/>
      <c r="K588" s="5"/>
    </row>
    <row r="589" spans="1:11" ht="15" customHeight="1" thickBot="1">
      <c r="A589" s="331"/>
      <c r="B589" s="49" t="s">
        <v>359</v>
      </c>
      <c r="C589" s="158"/>
      <c r="D589" s="51" t="s">
        <v>360</v>
      </c>
      <c r="E589" s="52">
        <f>SUM(E590:E590)</f>
        <v>1150000</v>
      </c>
      <c r="F589" s="118"/>
      <c r="G589" s="52">
        <f>SUM(G590:G590)</f>
        <v>1150000</v>
      </c>
      <c r="H589" s="52">
        <f>SUM(H590:H590)</f>
        <v>0</v>
      </c>
      <c r="I589" s="34"/>
      <c r="J589" s="5"/>
      <c r="K589" s="5"/>
    </row>
    <row r="590" spans="1:11" ht="15" customHeight="1" thickBot="1">
      <c r="A590" s="332"/>
      <c r="B590" s="256"/>
      <c r="C590" s="136" t="s">
        <v>17</v>
      </c>
      <c r="D590" s="137" t="s">
        <v>16</v>
      </c>
      <c r="E590" s="138">
        <f>G590</f>
        <v>1150000</v>
      </c>
      <c r="F590" s="118"/>
      <c r="G590" s="138">
        <v>1150000</v>
      </c>
      <c r="H590" s="138"/>
      <c r="I590" s="34"/>
      <c r="J590" s="5"/>
      <c r="K590" s="5"/>
    </row>
    <row r="591" spans="1:11" ht="15" customHeight="1" thickBot="1">
      <c r="A591" s="332"/>
      <c r="B591" s="49" t="s">
        <v>21</v>
      </c>
      <c r="C591" s="158"/>
      <c r="D591" s="51" t="s">
        <v>20</v>
      </c>
      <c r="E591" s="52">
        <f>SUM(E592:E592)</f>
        <v>970000</v>
      </c>
      <c r="F591" s="118">
        <f>SUM(F592)</f>
        <v>0</v>
      </c>
      <c r="G591" s="52">
        <f>SUM(G592:G592)</f>
        <v>970000</v>
      </c>
      <c r="H591" s="52">
        <f>SUM(H592:H592)</f>
        <v>0</v>
      </c>
      <c r="I591" s="34"/>
      <c r="J591" s="5"/>
      <c r="K591" s="5"/>
    </row>
    <row r="592" spans="1:11" ht="15" customHeight="1" thickBot="1">
      <c r="A592" s="332"/>
      <c r="B592" s="256"/>
      <c r="C592" s="136" t="s">
        <v>17</v>
      </c>
      <c r="D592" s="137" t="s">
        <v>16</v>
      </c>
      <c r="E592" s="138">
        <f>G592</f>
        <v>970000</v>
      </c>
      <c r="F592" s="122"/>
      <c r="G592" s="138">
        <v>970000</v>
      </c>
      <c r="H592" s="138"/>
      <c r="I592" s="34"/>
      <c r="J592" s="5"/>
      <c r="K592" s="5"/>
    </row>
    <row r="593" spans="1:11" ht="15" customHeight="1" thickBot="1">
      <c r="A593" s="332"/>
      <c r="B593" s="49" t="s">
        <v>19</v>
      </c>
      <c r="C593" s="49"/>
      <c r="D593" s="51" t="s">
        <v>18</v>
      </c>
      <c r="E593" s="52">
        <f>SUM(E594)</f>
        <v>654800</v>
      </c>
      <c r="F593" s="57">
        <v>3340000</v>
      </c>
      <c r="G593" s="52">
        <f>SUM(G594)</f>
        <v>654800</v>
      </c>
      <c r="H593" s="52">
        <f>SUM(H594)</f>
        <v>0</v>
      </c>
      <c r="I593" s="34"/>
      <c r="J593" s="5"/>
      <c r="K593" s="5"/>
    </row>
    <row r="594" spans="1:11" ht="15" customHeight="1" thickBot="1">
      <c r="A594" s="332"/>
      <c r="B594" s="317"/>
      <c r="C594" s="317" t="s">
        <v>17</v>
      </c>
      <c r="D594" s="160" t="s">
        <v>16</v>
      </c>
      <c r="E594" s="161">
        <f>664800-10000</f>
        <v>654800</v>
      </c>
      <c r="F594" s="57"/>
      <c r="G594" s="161">
        <f>664800-10000</f>
        <v>654800</v>
      </c>
      <c r="H594" s="161"/>
      <c r="I594" s="34"/>
      <c r="J594" s="5"/>
      <c r="K594" s="5"/>
    </row>
    <row r="595" spans="1:11" ht="15" customHeight="1" thickBot="1">
      <c r="A595" s="332"/>
      <c r="B595" s="49" t="s">
        <v>284</v>
      </c>
      <c r="C595" s="292"/>
      <c r="D595" s="149" t="s">
        <v>285</v>
      </c>
      <c r="E595" s="52">
        <f>SUM(E596)</f>
        <v>6000</v>
      </c>
      <c r="F595" s="53" t="e">
        <f>SUM(#REF!+F596+F597+F598+F599+F600+F601+F602+F604)</f>
        <v>#REF!</v>
      </c>
      <c r="G595" s="52">
        <f>SUM(G596)</f>
        <v>6000</v>
      </c>
      <c r="H595" s="52">
        <f>SUM(H596)</f>
        <v>0</v>
      </c>
      <c r="I595" s="34"/>
      <c r="J595" s="5"/>
      <c r="K595" s="5"/>
    </row>
    <row r="596" spans="1:11" ht="15" customHeight="1" thickBot="1">
      <c r="A596" s="332"/>
      <c r="B596" s="204"/>
      <c r="C596" s="155" t="s">
        <v>83</v>
      </c>
      <c r="D596" s="137" t="s">
        <v>95</v>
      </c>
      <c r="E596" s="232">
        <v>6000</v>
      </c>
      <c r="F596" s="118">
        <v>580000</v>
      </c>
      <c r="G596" s="232">
        <v>6000</v>
      </c>
      <c r="H596" s="232"/>
      <c r="I596" s="34">
        <f>E596</f>
        <v>6000</v>
      </c>
      <c r="J596" s="5"/>
      <c r="K596" s="5"/>
    </row>
    <row r="597" spans="1:11" ht="15" customHeight="1" thickBot="1">
      <c r="A597" s="332"/>
      <c r="B597" s="49" t="s">
        <v>15</v>
      </c>
      <c r="C597" s="293"/>
      <c r="D597" s="51" t="s">
        <v>11</v>
      </c>
      <c r="E597" s="52">
        <f>E598+E599+E600+E601+E603</f>
        <v>4703234</v>
      </c>
      <c r="F597" s="86"/>
      <c r="G597" s="52">
        <f>G598+G599+G600+G601+G603</f>
        <v>174558</v>
      </c>
      <c r="H597" s="52">
        <f>H598+H599+H600+H601+H603</f>
        <v>4528676</v>
      </c>
      <c r="I597" s="34"/>
      <c r="J597" s="5"/>
      <c r="K597" s="5"/>
    </row>
    <row r="598" spans="1:11" ht="45" customHeight="1">
      <c r="A598" s="332"/>
      <c r="B598" s="334"/>
      <c r="C598" s="136" t="s">
        <v>10</v>
      </c>
      <c r="D598" s="137" t="s">
        <v>9</v>
      </c>
      <c r="E598" s="138">
        <f>200000-50000</f>
        <v>150000</v>
      </c>
      <c r="F598" s="118">
        <v>171478.97</v>
      </c>
      <c r="G598" s="138">
        <f>E598</f>
        <v>150000</v>
      </c>
      <c r="H598" s="138"/>
      <c r="I598" s="34"/>
      <c r="J598" s="5"/>
      <c r="K598" s="5"/>
    </row>
    <row r="599" spans="1:11" ht="15" customHeight="1">
      <c r="A599" s="332"/>
      <c r="B599" s="335"/>
      <c r="C599" s="136" t="s">
        <v>30</v>
      </c>
      <c r="D599" s="137" t="s">
        <v>29</v>
      </c>
      <c r="E599" s="138">
        <v>6000</v>
      </c>
      <c r="F599" s="86">
        <v>4204.63</v>
      </c>
      <c r="G599" s="138">
        <v>6000</v>
      </c>
      <c r="H599" s="138"/>
      <c r="I599" s="34"/>
      <c r="J599" s="5"/>
      <c r="K599" s="5"/>
    </row>
    <row r="600" spans="1:11" ht="15" customHeight="1">
      <c r="A600" s="332"/>
      <c r="B600" s="335"/>
      <c r="C600" s="136" t="s">
        <v>2</v>
      </c>
      <c r="D600" s="137" t="s">
        <v>26</v>
      </c>
      <c r="E600" s="138">
        <v>18558</v>
      </c>
      <c r="F600" s="86">
        <v>500</v>
      </c>
      <c r="G600" s="138">
        <v>18558</v>
      </c>
      <c r="H600" s="138"/>
      <c r="I600" s="34"/>
      <c r="J600" s="5"/>
      <c r="K600" s="5"/>
    </row>
    <row r="601" spans="1:11" ht="15" customHeight="1">
      <c r="A601" s="332"/>
      <c r="B601" s="335"/>
      <c r="C601" s="164" t="s">
        <v>307</v>
      </c>
      <c r="D601" s="140" t="s">
        <v>267</v>
      </c>
      <c r="E601" s="141">
        <f>E602</f>
        <v>3752929</v>
      </c>
      <c r="F601" s="86">
        <v>13333.33</v>
      </c>
      <c r="G601" s="141"/>
      <c r="H601" s="141">
        <f>H602</f>
        <v>3752929</v>
      </c>
      <c r="I601" s="34"/>
      <c r="J601" s="5"/>
      <c r="K601" s="5"/>
    </row>
    <row r="602" spans="1:11" ht="30" customHeight="1">
      <c r="A602" s="332"/>
      <c r="B602" s="335"/>
      <c r="C602" s="164"/>
      <c r="D602" s="294" t="s">
        <v>373</v>
      </c>
      <c r="E602" s="141">
        <v>3752929</v>
      </c>
      <c r="F602" s="118">
        <f>SUM(F603)</f>
        <v>103659</v>
      </c>
      <c r="G602" s="141"/>
      <c r="H602" s="141">
        <v>3752929</v>
      </c>
      <c r="I602" s="34"/>
      <c r="J602" s="5"/>
      <c r="K602" s="5"/>
    </row>
    <row r="603" spans="1:11" ht="15" customHeight="1">
      <c r="A603" s="332"/>
      <c r="B603" s="335"/>
      <c r="C603" s="164" t="s">
        <v>282</v>
      </c>
      <c r="D603" s="140" t="s">
        <v>283</v>
      </c>
      <c r="E603" s="141">
        <f>E604</f>
        <v>775747</v>
      </c>
      <c r="F603" s="122">
        <v>103659</v>
      </c>
      <c r="G603" s="141"/>
      <c r="H603" s="141">
        <f>H604</f>
        <v>775747</v>
      </c>
      <c r="I603" s="34"/>
      <c r="J603" s="5"/>
      <c r="K603" s="5"/>
    </row>
    <row r="604" spans="1:11" ht="30" customHeight="1" thickBot="1">
      <c r="A604" s="333"/>
      <c r="B604" s="336"/>
      <c r="C604" s="154"/>
      <c r="D604" s="294" t="s">
        <v>373</v>
      </c>
      <c r="E604" s="144">
        <f>775747</f>
        <v>775747</v>
      </c>
      <c r="F604" s="118">
        <v>471638.56</v>
      </c>
      <c r="G604" s="144"/>
      <c r="H604" s="144">
        <f>775747</f>
        <v>775747</v>
      </c>
      <c r="I604" s="34"/>
      <c r="J604" s="5"/>
      <c r="K604" s="5"/>
    </row>
    <row r="605" spans="1:11" ht="15" customHeight="1" thickBot="1">
      <c r="A605" s="132" t="s">
        <v>13</v>
      </c>
      <c r="B605" s="316"/>
      <c r="C605" s="221"/>
      <c r="D605" s="307" t="s">
        <v>400</v>
      </c>
      <c r="E605" s="295">
        <f>E606+E632</f>
        <v>11588700</v>
      </c>
      <c r="F605" s="296" t="e">
        <f>SUM(F6+#REF!+F16+F19+F51+F65+F72+F122+F127+F174+F182+F185+F190+F354+F386+F467+F495+F530+F574+#REF!)</f>
        <v>#REF!</v>
      </c>
      <c r="G605" s="295">
        <f>G606+G632</f>
        <v>8803700</v>
      </c>
      <c r="H605" s="295">
        <f>H606+H632</f>
        <v>2785000</v>
      </c>
      <c r="I605" s="34"/>
      <c r="J605" s="5"/>
      <c r="K605" s="5"/>
    </row>
    <row r="606" spans="1:11" ht="15" customHeight="1" thickBot="1">
      <c r="A606" s="337"/>
      <c r="B606" s="49" t="s">
        <v>349</v>
      </c>
      <c r="C606" s="203"/>
      <c r="D606" s="51" t="s">
        <v>350</v>
      </c>
      <c r="E606" s="52">
        <f>SUM(G606:H606)</f>
        <v>9794700</v>
      </c>
      <c r="F606" s="297"/>
      <c r="G606" s="52">
        <f>SUM(G607:G629,G631)</f>
        <v>7779700</v>
      </c>
      <c r="H606" s="52">
        <f>SUM(H607:H629,H631)</f>
        <v>2015000</v>
      </c>
      <c r="I606" s="34"/>
      <c r="J606" s="5"/>
      <c r="K606" s="5"/>
    </row>
    <row r="607" spans="1:11" ht="15" customHeight="1">
      <c r="A607" s="338"/>
      <c r="B607" s="340"/>
      <c r="C607" s="192" t="s">
        <v>92</v>
      </c>
      <c r="D607" s="137" t="s">
        <v>258</v>
      </c>
      <c r="E607" s="85">
        <v>10500</v>
      </c>
      <c r="F607" s="297"/>
      <c r="G607" s="85">
        <v>10500</v>
      </c>
      <c r="H607" s="85"/>
      <c r="I607" s="34"/>
      <c r="J607" s="5"/>
      <c r="K607" s="5"/>
    </row>
    <row r="608" spans="1:11" ht="15" customHeight="1">
      <c r="A608" s="338"/>
      <c r="B608" s="340"/>
      <c r="C608" s="164" t="s">
        <v>90</v>
      </c>
      <c r="D608" s="140" t="s">
        <v>89</v>
      </c>
      <c r="E608" s="117">
        <f>SUM(G608)</f>
        <v>2490900</v>
      </c>
      <c r="F608" s="297"/>
      <c r="G608" s="117">
        <v>2490900</v>
      </c>
      <c r="H608" s="117"/>
      <c r="I608" s="34">
        <f>G608</f>
        <v>2490900</v>
      </c>
      <c r="J608" s="5"/>
      <c r="K608" s="5"/>
    </row>
    <row r="609" spans="1:11" ht="15" customHeight="1">
      <c r="A609" s="338"/>
      <c r="B609" s="340"/>
      <c r="C609" s="164" t="s">
        <v>88</v>
      </c>
      <c r="D609" s="140" t="s">
        <v>87</v>
      </c>
      <c r="E609" s="117">
        <v>244200</v>
      </c>
      <c r="F609" s="297"/>
      <c r="G609" s="117">
        <v>244200</v>
      </c>
      <c r="H609" s="117"/>
      <c r="I609" s="34">
        <f t="shared" ref="I609:I611" si="6">G609</f>
        <v>244200</v>
      </c>
      <c r="J609" s="5"/>
      <c r="K609" s="5"/>
    </row>
    <row r="610" spans="1:11" ht="15" customHeight="1">
      <c r="A610" s="338"/>
      <c r="B610" s="340"/>
      <c r="C610" s="164" t="s">
        <v>4</v>
      </c>
      <c r="D610" s="140" t="s">
        <v>3</v>
      </c>
      <c r="E610" s="117">
        <v>491400</v>
      </c>
      <c r="F610" s="297"/>
      <c r="G610" s="117">
        <v>491400</v>
      </c>
      <c r="H610" s="117"/>
      <c r="I610" s="34">
        <f t="shared" si="6"/>
        <v>491400</v>
      </c>
      <c r="J610" s="5"/>
      <c r="K610" s="5"/>
    </row>
    <row r="611" spans="1:11" ht="15" customHeight="1">
      <c r="A611" s="338"/>
      <c r="B611" s="340"/>
      <c r="C611" s="164" t="s">
        <v>85</v>
      </c>
      <c r="D611" s="140" t="s">
        <v>84</v>
      </c>
      <c r="E611" s="117">
        <v>77800</v>
      </c>
      <c r="F611" s="297"/>
      <c r="G611" s="117">
        <v>77800</v>
      </c>
      <c r="H611" s="117"/>
      <c r="I611" s="34">
        <f t="shared" si="6"/>
        <v>77800</v>
      </c>
      <c r="J611" s="5"/>
      <c r="K611" s="5"/>
    </row>
    <row r="612" spans="1:11" ht="15" customHeight="1">
      <c r="A612" s="338"/>
      <c r="B612" s="340"/>
      <c r="C612" s="164" t="s">
        <v>175</v>
      </c>
      <c r="D612" s="137" t="s">
        <v>174</v>
      </c>
      <c r="E612" s="117">
        <v>85200</v>
      </c>
      <c r="F612" s="297"/>
      <c r="G612" s="117">
        <v>85200</v>
      </c>
      <c r="H612" s="117"/>
      <c r="I612" s="34"/>
      <c r="J612" s="5"/>
      <c r="K612" s="5"/>
    </row>
    <row r="613" spans="1:11" ht="15" customHeight="1">
      <c r="A613" s="338"/>
      <c r="B613" s="340"/>
      <c r="C613" s="164" t="s">
        <v>83</v>
      </c>
      <c r="D613" s="140" t="s">
        <v>95</v>
      </c>
      <c r="E613" s="117">
        <v>294100</v>
      </c>
      <c r="F613" s="297"/>
      <c r="G613" s="117">
        <v>294100</v>
      </c>
      <c r="H613" s="117"/>
      <c r="I613" s="34">
        <f>G613</f>
        <v>294100</v>
      </c>
      <c r="J613" s="5"/>
      <c r="K613" s="5"/>
    </row>
    <row r="614" spans="1:11" ht="15" customHeight="1">
      <c r="A614" s="338"/>
      <c r="B614" s="340"/>
      <c r="C614" s="164" t="s">
        <v>30</v>
      </c>
      <c r="D614" s="140" t="s">
        <v>29</v>
      </c>
      <c r="E614" s="117">
        <f>528700-10000</f>
        <v>518700</v>
      </c>
      <c r="F614" s="297"/>
      <c r="G614" s="117">
        <f>E614</f>
        <v>518700</v>
      </c>
      <c r="H614" s="117"/>
      <c r="I614" s="34"/>
      <c r="J614" s="5"/>
      <c r="K614" s="5"/>
    </row>
    <row r="615" spans="1:11" ht="15" customHeight="1">
      <c r="A615" s="338"/>
      <c r="B615" s="340"/>
      <c r="C615" s="164" t="s">
        <v>28</v>
      </c>
      <c r="D615" s="140" t="s">
        <v>27</v>
      </c>
      <c r="E615" s="117">
        <f>1585900-15000</f>
        <v>1570900</v>
      </c>
      <c r="F615" s="297"/>
      <c r="G615" s="117">
        <f>E615</f>
        <v>1570900</v>
      </c>
      <c r="H615" s="117"/>
      <c r="I615" s="34"/>
      <c r="J615" s="5"/>
      <c r="K615" s="5"/>
    </row>
    <row r="616" spans="1:11" ht="15" customHeight="1">
      <c r="A616" s="338"/>
      <c r="B616" s="340"/>
      <c r="C616" s="164" t="s">
        <v>36</v>
      </c>
      <c r="D616" s="140" t="s">
        <v>81</v>
      </c>
      <c r="E616" s="117">
        <f>717000-15000</f>
        <v>702000</v>
      </c>
      <c r="F616" s="297"/>
      <c r="G616" s="117">
        <f>E616</f>
        <v>702000</v>
      </c>
      <c r="H616" s="117"/>
      <c r="I616" s="34"/>
      <c r="J616" s="5"/>
      <c r="K616" s="5"/>
    </row>
    <row r="617" spans="1:11" ht="15" customHeight="1">
      <c r="A617" s="338"/>
      <c r="B617" s="340"/>
      <c r="C617" s="164" t="s">
        <v>80</v>
      </c>
      <c r="D617" s="140" t="s">
        <v>79</v>
      </c>
      <c r="E617" s="68">
        <v>8200</v>
      </c>
      <c r="F617" s="214"/>
      <c r="G617" s="68">
        <v>8200</v>
      </c>
      <c r="H617" s="68"/>
      <c r="I617" s="34"/>
      <c r="J617" s="5"/>
      <c r="K617" s="5"/>
    </row>
    <row r="618" spans="1:11" ht="15" customHeight="1">
      <c r="A618" s="338"/>
      <c r="B618" s="340"/>
      <c r="C618" s="164" t="s">
        <v>2</v>
      </c>
      <c r="D618" s="140" t="s">
        <v>26</v>
      </c>
      <c r="E618" s="68">
        <f>403800-10000</f>
        <v>393800</v>
      </c>
      <c r="F618" s="214"/>
      <c r="G618" s="68">
        <f>E618</f>
        <v>393800</v>
      </c>
      <c r="H618" s="68"/>
      <c r="I618" s="34"/>
      <c r="J618" s="5"/>
      <c r="K618" s="5"/>
    </row>
    <row r="619" spans="1:11" ht="15" customHeight="1">
      <c r="A619" s="338"/>
      <c r="B619" s="340"/>
      <c r="C619" s="164" t="s">
        <v>78</v>
      </c>
      <c r="D619" s="140" t="s">
        <v>77</v>
      </c>
      <c r="E619" s="68">
        <v>5200</v>
      </c>
      <c r="F619" s="214"/>
      <c r="G619" s="68">
        <v>5200</v>
      </c>
      <c r="H619" s="68"/>
      <c r="I619" s="34"/>
      <c r="J619" s="5"/>
      <c r="K619" s="5"/>
    </row>
    <row r="620" spans="1:11" ht="30" customHeight="1">
      <c r="A620" s="338"/>
      <c r="B620" s="340"/>
      <c r="C620" s="164" t="s">
        <v>146</v>
      </c>
      <c r="D620" s="140" t="s">
        <v>323</v>
      </c>
      <c r="E620" s="68">
        <v>12600</v>
      </c>
      <c r="F620" s="214"/>
      <c r="G620" s="68">
        <v>12600</v>
      </c>
      <c r="H620" s="68"/>
      <c r="I620" s="34"/>
      <c r="J620" s="5"/>
      <c r="K620" s="5"/>
    </row>
    <row r="621" spans="1:11" ht="30" customHeight="1">
      <c r="A621" s="338"/>
      <c r="B621" s="340"/>
      <c r="C621" s="164" t="s">
        <v>76</v>
      </c>
      <c r="D621" s="140" t="s">
        <v>324</v>
      </c>
      <c r="E621" s="68">
        <v>33800</v>
      </c>
      <c r="F621" s="214"/>
      <c r="G621" s="68">
        <v>33800</v>
      </c>
      <c r="H621" s="68"/>
      <c r="I621" s="34"/>
      <c r="J621" s="5"/>
      <c r="K621" s="5"/>
    </row>
    <row r="622" spans="1:11" ht="15" customHeight="1">
      <c r="A622" s="338"/>
      <c r="B622" s="340"/>
      <c r="C622" s="164" t="s">
        <v>75</v>
      </c>
      <c r="D622" s="140" t="s">
        <v>74</v>
      </c>
      <c r="E622" s="68">
        <v>12500</v>
      </c>
      <c r="F622" s="214"/>
      <c r="G622" s="68">
        <v>12500</v>
      </c>
      <c r="H622" s="68"/>
      <c r="I622" s="34"/>
      <c r="J622" s="5"/>
      <c r="K622" s="5"/>
    </row>
    <row r="623" spans="1:11" ht="15" customHeight="1">
      <c r="A623" s="338"/>
      <c r="B623" s="340"/>
      <c r="C623" s="164" t="s">
        <v>25</v>
      </c>
      <c r="D623" s="140" t="s">
        <v>24</v>
      </c>
      <c r="E623" s="68">
        <v>31300</v>
      </c>
      <c r="F623" s="214"/>
      <c r="G623" s="68">
        <v>31300</v>
      </c>
      <c r="H623" s="68"/>
      <c r="I623" s="34"/>
      <c r="J623" s="5"/>
      <c r="K623" s="5"/>
    </row>
    <row r="624" spans="1:11" ht="15" customHeight="1">
      <c r="A624" s="338"/>
      <c r="B624" s="340"/>
      <c r="C624" s="164" t="s">
        <v>73</v>
      </c>
      <c r="D624" s="140" t="s">
        <v>72</v>
      </c>
      <c r="E624" s="68">
        <v>99500</v>
      </c>
      <c r="F624" s="214"/>
      <c r="G624" s="68">
        <v>99500</v>
      </c>
      <c r="H624" s="68"/>
      <c r="I624" s="34"/>
      <c r="J624" s="5"/>
      <c r="K624" s="5"/>
    </row>
    <row r="625" spans="1:11" ht="15" customHeight="1">
      <c r="A625" s="338"/>
      <c r="B625" s="340"/>
      <c r="C625" s="164" t="s">
        <v>361</v>
      </c>
      <c r="D625" s="140" t="s">
        <v>362</v>
      </c>
      <c r="E625" s="117">
        <v>565700</v>
      </c>
      <c r="F625" s="298"/>
      <c r="G625" s="117">
        <v>565700</v>
      </c>
      <c r="H625" s="117"/>
      <c r="I625" s="34"/>
      <c r="J625" s="5"/>
      <c r="K625" s="5"/>
    </row>
    <row r="626" spans="1:11" ht="15" customHeight="1">
      <c r="A626" s="338"/>
      <c r="B626" s="340"/>
      <c r="C626" s="164" t="s">
        <v>286</v>
      </c>
      <c r="D626" s="140" t="s">
        <v>287</v>
      </c>
      <c r="E626" s="117">
        <v>1500</v>
      </c>
      <c r="F626" s="298"/>
      <c r="G626" s="117">
        <v>1500</v>
      </c>
      <c r="H626" s="117"/>
      <c r="I626" s="34"/>
      <c r="J626" s="5"/>
      <c r="K626" s="5"/>
    </row>
    <row r="627" spans="1:11" ht="15" customHeight="1">
      <c r="A627" s="338"/>
      <c r="B627" s="340"/>
      <c r="C627" s="162" t="s">
        <v>355</v>
      </c>
      <c r="D627" s="65" t="s">
        <v>356</v>
      </c>
      <c r="E627" s="117">
        <v>126900</v>
      </c>
      <c r="F627" s="299"/>
      <c r="G627" s="117">
        <v>126900</v>
      </c>
      <c r="H627" s="117"/>
      <c r="I627" s="34"/>
      <c r="J627" s="5"/>
      <c r="K627" s="5"/>
    </row>
    <row r="628" spans="1:11" ht="15" customHeight="1">
      <c r="A628" s="338"/>
      <c r="B628" s="340"/>
      <c r="C628" s="162" t="s">
        <v>71</v>
      </c>
      <c r="D628" s="65" t="s">
        <v>70</v>
      </c>
      <c r="E628" s="117">
        <v>3000</v>
      </c>
      <c r="F628" s="300"/>
      <c r="G628" s="117">
        <v>3000</v>
      </c>
      <c r="H628" s="117"/>
      <c r="I628" s="34"/>
      <c r="J628" s="5"/>
      <c r="K628" s="5"/>
    </row>
    <row r="629" spans="1:11" ht="15" customHeight="1">
      <c r="A629" s="338"/>
      <c r="B629" s="340"/>
      <c r="C629" s="123" t="s">
        <v>34</v>
      </c>
      <c r="D629" s="62" t="s">
        <v>14</v>
      </c>
      <c r="E629" s="85">
        <f>E630</f>
        <v>2000000</v>
      </c>
      <c r="F629" s="301"/>
      <c r="G629" s="85"/>
      <c r="H629" s="85">
        <f>H630</f>
        <v>2000000</v>
      </c>
      <c r="I629" s="34"/>
      <c r="J629" s="5"/>
      <c r="K629" s="5"/>
    </row>
    <row r="630" spans="1:11" ht="15" customHeight="1">
      <c r="A630" s="338"/>
      <c r="B630" s="340"/>
      <c r="C630" s="302"/>
      <c r="D630" s="303" t="s">
        <v>367</v>
      </c>
      <c r="E630" s="99">
        <v>2000000</v>
      </c>
      <c r="F630" s="301"/>
      <c r="G630" s="99"/>
      <c r="H630" s="99">
        <v>2000000</v>
      </c>
      <c r="I630" s="34"/>
      <c r="J630" s="5"/>
      <c r="K630" s="5"/>
    </row>
    <row r="631" spans="1:11" ht="15" customHeight="1" thickBot="1">
      <c r="A631" s="338"/>
      <c r="B631" s="341"/>
      <c r="C631" s="315" t="s">
        <v>69</v>
      </c>
      <c r="D631" s="143" t="s">
        <v>68</v>
      </c>
      <c r="E631" s="285">
        <v>15000</v>
      </c>
      <c r="F631" s="301"/>
      <c r="G631" s="285"/>
      <c r="H631" s="285">
        <v>15000</v>
      </c>
      <c r="I631" s="34"/>
      <c r="J631" s="5"/>
      <c r="K631" s="5"/>
    </row>
    <row r="632" spans="1:11" ht="15" customHeight="1" thickBot="1">
      <c r="A632" s="338"/>
      <c r="B632" s="49" t="s">
        <v>12</v>
      </c>
      <c r="C632" s="203"/>
      <c r="D632" s="51" t="s">
        <v>11</v>
      </c>
      <c r="E632" s="52">
        <f>E633+E634+E635+E636+E637+E640</f>
        <v>1794000</v>
      </c>
      <c r="F632" s="301"/>
      <c r="G632" s="52">
        <f>G633+G634+G635+G636+G637+G640</f>
        <v>1024000</v>
      </c>
      <c r="H632" s="52">
        <f>H633+H634+H635+H636+H637+H640</f>
        <v>770000</v>
      </c>
      <c r="I632" s="34"/>
      <c r="J632" s="5"/>
      <c r="K632" s="5"/>
    </row>
    <row r="633" spans="1:11" ht="45" customHeight="1">
      <c r="A633" s="338"/>
      <c r="B633" s="342"/>
      <c r="C633" s="136" t="s">
        <v>10</v>
      </c>
      <c r="D633" s="137" t="s">
        <v>9</v>
      </c>
      <c r="E633" s="141">
        <v>580000</v>
      </c>
      <c r="F633" s="301"/>
      <c r="G633" s="141">
        <v>580000</v>
      </c>
      <c r="H633" s="141"/>
      <c r="I633" s="34"/>
      <c r="J633" s="5"/>
      <c r="K633" s="5"/>
    </row>
    <row r="634" spans="1:11" ht="15" customHeight="1">
      <c r="A634" s="338"/>
      <c r="B634" s="343"/>
      <c r="C634" s="136" t="s">
        <v>8</v>
      </c>
      <c r="D634" s="137" t="s">
        <v>7</v>
      </c>
      <c r="E634" s="141">
        <v>20000</v>
      </c>
      <c r="F634" s="301"/>
      <c r="G634" s="141">
        <v>20000</v>
      </c>
      <c r="H634" s="141"/>
      <c r="I634" s="34"/>
      <c r="J634" s="5"/>
      <c r="K634" s="5"/>
    </row>
    <row r="635" spans="1:11" ht="15" customHeight="1">
      <c r="A635" s="338"/>
      <c r="B635" s="343"/>
      <c r="C635" s="136" t="s">
        <v>6</v>
      </c>
      <c r="D635" s="140" t="s">
        <v>5</v>
      </c>
      <c r="E635" s="141">
        <f>G635</f>
        <v>400000</v>
      </c>
      <c r="F635" s="301"/>
      <c r="G635" s="141">
        <f>432000-32000</f>
        <v>400000</v>
      </c>
      <c r="H635" s="141"/>
      <c r="I635" s="34"/>
      <c r="J635" s="5"/>
      <c r="K635" s="5"/>
    </row>
    <row r="636" spans="1:11" ht="15" customHeight="1">
      <c r="A636" s="338"/>
      <c r="B636" s="343"/>
      <c r="C636" s="136" t="s">
        <v>2</v>
      </c>
      <c r="D636" s="137" t="s">
        <v>1</v>
      </c>
      <c r="E636" s="138">
        <v>24000</v>
      </c>
      <c r="F636" s="301"/>
      <c r="G636" s="138">
        <v>24000</v>
      </c>
      <c r="H636" s="138"/>
      <c r="I636" s="34"/>
      <c r="J636" s="5"/>
      <c r="K636" s="5"/>
    </row>
    <row r="637" spans="1:11" ht="15" customHeight="1">
      <c r="A637" s="338"/>
      <c r="B637" s="343"/>
      <c r="C637" s="162" t="s">
        <v>34</v>
      </c>
      <c r="D637" s="62" t="s">
        <v>14</v>
      </c>
      <c r="E637" s="117">
        <f>SUM(H637)</f>
        <v>750000</v>
      </c>
      <c r="F637" s="301"/>
      <c r="G637" s="117"/>
      <c r="H637" s="117">
        <f>SUM(H638:H639)</f>
        <v>750000</v>
      </c>
      <c r="I637" s="34"/>
      <c r="J637" s="5"/>
      <c r="K637" s="5"/>
    </row>
    <row r="638" spans="1:11" ht="15" customHeight="1">
      <c r="A638" s="338"/>
      <c r="B638" s="343"/>
      <c r="C638" s="304"/>
      <c r="D638" s="163" t="s">
        <v>351</v>
      </c>
      <c r="E638" s="285">
        <f>SUM(H638)</f>
        <v>700000</v>
      </c>
      <c r="F638" s="301"/>
      <c r="G638" s="285"/>
      <c r="H638" s="285">
        <v>700000</v>
      </c>
      <c r="I638" s="34"/>
      <c r="J638" s="5"/>
      <c r="K638" s="5"/>
    </row>
    <row r="639" spans="1:11" ht="15" customHeight="1">
      <c r="A639" s="338"/>
      <c r="B639" s="343"/>
      <c r="C639" s="304"/>
      <c r="D639" s="163" t="s">
        <v>399</v>
      </c>
      <c r="E639" s="285">
        <f>SUM(H639)</f>
        <v>50000</v>
      </c>
      <c r="F639" s="301"/>
      <c r="G639" s="285"/>
      <c r="H639" s="285">
        <v>50000</v>
      </c>
      <c r="I639" s="34"/>
      <c r="J639" s="5"/>
      <c r="K639" s="5"/>
    </row>
    <row r="640" spans="1:11" ht="15" customHeight="1" thickBot="1">
      <c r="A640" s="339"/>
      <c r="B640" s="344"/>
      <c r="C640" s="142" t="s">
        <v>69</v>
      </c>
      <c r="D640" s="143" t="s">
        <v>145</v>
      </c>
      <c r="E640" s="144">
        <v>20000</v>
      </c>
      <c r="F640" s="301"/>
      <c r="G640" s="144"/>
      <c r="H640" s="144">
        <v>20000</v>
      </c>
      <c r="I640" s="34"/>
      <c r="J640" s="5"/>
      <c r="K640" s="5"/>
    </row>
    <row r="641" spans="1:11" ht="21" customHeight="1" thickBot="1">
      <c r="A641" s="353" t="s">
        <v>0</v>
      </c>
      <c r="B641" s="354"/>
      <c r="C641" s="354"/>
      <c r="D641" s="355"/>
      <c r="E641" s="108">
        <f>SUM(E6+E16+E19+E51+E65+E72+E122+E127+E174+E182+E185+E190+E354+E386+E467+E509+E541+E588+E605)</f>
        <v>148175972</v>
      </c>
      <c r="F641" s="305"/>
      <c r="G641" s="108">
        <f>SUM(G6+G16+G19+G51+G65+G72+G122+G127+G174+G182+G185+G190+G354+G386+G467+G509+G541+G588+G605)</f>
        <v>100553501</v>
      </c>
      <c r="H641" s="108">
        <f>SUM(H6+H16+H19+H51+H65+H72+H122+H127+H174+H182+H185+H190+H354+H386+H467+H509+H541+H588+H605)</f>
        <v>47622471</v>
      </c>
      <c r="I641" s="34">
        <f>SUM(I9:I640)</f>
        <v>44772703</v>
      </c>
      <c r="J641" s="5"/>
      <c r="K641" s="5"/>
    </row>
    <row r="642" spans="1:11" ht="15.75" customHeight="1">
      <c r="A642" s="5"/>
      <c r="B642" s="5"/>
      <c r="C642" s="12"/>
      <c r="D642" s="5"/>
      <c r="E642" s="27"/>
      <c r="F642" s="10"/>
      <c r="H642" s="20"/>
      <c r="I642" s="34"/>
      <c r="J642" s="5"/>
      <c r="K642" s="5"/>
    </row>
    <row r="643" spans="1:11" ht="15.75" customHeight="1">
      <c r="A643" s="5"/>
      <c r="B643" s="5"/>
      <c r="C643" s="6"/>
      <c r="D643" s="5"/>
      <c r="E643" s="326" t="s">
        <v>401</v>
      </c>
      <c r="F643" s="326"/>
      <c r="G643" s="326"/>
      <c r="H643" s="326"/>
      <c r="I643" s="34"/>
      <c r="J643" s="5"/>
      <c r="K643" s="5"/>
    </row>
    <row r="644" spans="1:11" ht="9.9499999999999993" customHeight="1">
      <c r="A644" s="327"/>
      <c r="B644" s="327"/>
      <c r="C644" s="327"/>
      <c r="D644" s="327"/>
      <c r="E644" s="27"/>
      <c r="F644" s="10"/>
      <c r="H644" s="20"/>
      <c r="I644" s="5"/>
      <c r="J644" s="5"/>
      <c r="K644" s="5"/>
    </row>
    <row r="645" spans="1:11" ht="15" customHeight="1">
      <c r="A645" s="5"/>
      <c r="B645" s="5"/>
      <c r="C645" s="6"/>
      <c r="D645" s="37"/>
      <c r="E645" s="326" t="s">
        <v>402</v>
      </c>
      <c r="F645" s="326"/>
      <c r="G645" s="326"/>
      <c r="H645" s="326"/>
      <c r="I645" s="5"/>
      <c r="J645" s="35"/>
      <c r="K645" s="5"/>
    </row>
    <row r="646" spans="1:11" ht="9.9499999999999993" customHeight="1">
      <c r="A646" s="5"/>
      <c r="B646" s="5"/>
      <c r="C646" s="6"/>
      <c r="D646" s="37"/>
      <c r="E646" s="41"/>
      <c r="F646" s="10"/>
      <c r="H646" s="20"/>
      <c r="I646" s="5"/>
      <c r="J646" s="5"/>
      <c r="K646" s="5"/>
    </row>
    <row r="647" spans="1:11" ht="9.9499999999999993" customHeight="1">
      <c r="A647" s="5"/>
      <c r="B647" s="5"/>
      <c r="C647" s="6"/>
      <c r="D647" s="37"/>
      <c r="E647" s="43"/>
      <c r="F647" s="10"/>
      <c r="H647" s="20"/>
      <c r="I647" s="5"/>
      <c r="J647" s="5"/>
      <c r="K647" s="5"/>
    </row>
    <row r="648" spans="1:11" ht="20.100000000000001" customHeight="1">
      <c r="C648" s="6"/>
      <c r="D648" s="38"/>
      <c r="E648" s="42"/>
      <c r="F648" s="10"/>
      <c r="I648" s="5"/>
      <c r="J648" s="5"/>
      <c r="K648" s="5"/>
    </row>
    <row r="649" spans="1:11" ht="20.100000000000001" customHeight="1">
      <c r="D649" s="37"/>
      <c r="E649" s="43"/>
      <c r="F649" s="7"/>
      <c r="G649" s="5"/>
      <c r="J649" s="5"/>
      <c r="K649" s="5"/>
    </row>
    <row r="650" spans="1:11" ht="20.100000000000001" customHeight="1">
      <c r="C650" s="1"/>
      <c r="D650" s="37"/>
      <c r="E650" s="43"/>
      <c r="F650" s="7"/>
      <c r="G650" s="5"/>
      <c r="J650" s="5"/>
      <c r="K650" s="5"/>
    </row>
    <row r="651" spans="1:11" ht="15" customHeight="1">
      <c r="C651" s="1"/>
      <c r="E651" s="44"/>
      <c r="F651" s="10"/>
      <c r="J651" s="5"/>
      <c r="K651" s="5"/>
    </row>
    <row r="652" spans="1:11" ht="15" customHeight="1">
      <c r="C652" s="1"/>
      <c r="E652" s="43"/>
      <c r="F652" s="10"/>
      <c r="J652" s="5"/>
      <c r="K652" s="5"/>
    </row>
    <row r="653" spans="1:11" ht="15" customHeight="1">
      <c r="C653" s="1"/>
      <c r="E653" s="7"/>
      <c r="F653" s="10"/>
      <c r="J653" s="5"/>
      <c r="K653" s="5"/>
    </row>
    <row r="654" spans="1:11" ht="15" customHeight="1">
      <c r="C654" s="1"/>
      <c r="E654" s="23"/>
      <c r="F654" s="10"/>
      <c r="K654" s="5"/>
    </row>
    <row r="655" spans="1:11" ht="15" customHeight="1">
      <c r="C655" s="1"/>
      <c r="E655" s="7"/>
      <c r="F655" s="10"/>
      <c r="K655" s="5"/>
    </row>
    <row r="656" spans="1:11" ht="15" customHeight="1">
      <c r="C656" s="1"/>
      <c r="E656" s="7"/>
      <c r="F656" s="10"/>
      <c r="H656" s="20"/>
      <c r="K656" s="5"/>
    </row>
    <row r="657" spans="3:25" ht="15" customHeight="1">
      <c r="C657" s="1"/>
      <c r="E657" s="7"/>
      <c r="F657" s="10"/>
      <c r="H657" s="20"/>
      <c r="I657" s="5"/>
      <c r="O657" s="14"/>
      <c r="P657" s="311"/>
      <c r="Q657" s="25"/>
      <c r="R657" s="24"/>
      <c r="S657" s="26"/>
      <c r="T657" s="4"/>
      <c r="V657" s="21"/>
      <c r="W657" s="5"/>
      <c r="X657" s="5"/>
      <c r="Y657" s="5"/>
    </row>
    <row r="658" spans="3:25" ht="15" customHeight="1">
      <c r="C658" s="1"/>
      <c r="E658" s="23"/>
      <c r="F658" s="10"/>
      <c r="H658" s="22"/>
      <c r="I658" s="5"/>
      <c r="O658" s="14"/>
      <c r="P658" s="311"/>
      <c r="Q658" s="25"/>
      <c r="R658" s="24"/>
      <c r="S658" s="26"/>
      <c r="T658" s="4"/>
      <c r="V658" s="20"/>
      <c r="W658" s="5"/>
      <c r="X658" s="5"/>
      <c r="Y658" s="5"/>
    </row>
    <row r="659" spans="3:25" ht="15" customHeight="1">
      <c r="C659" s="1"/>
      <c r="E659" s="7"/>
      <c r="F659" s="10"/>
      <c r="H659" s="5"/>
      <c r="I659" s="5"/>
      <c r="O659" s="14"/>
      <c r="P659" s="311"/>
      <c r="Q659" s="25"/>
      <c r="R659" s="24"/>
      <c r="S659" s="26"/>
      <c r="T659" s="4"/>
      <c r="V659" s="20"/>
      <c r="W659" s="5"/>
      <c r="X659" s="5"/>
      <c r="Y659" s="5"/>
    </row>
    <row r="660" spans="3:25" ht="15" customHeight="1">
      <c r="C660" s="1"/>
      <c r="E660" s="7"/>
      <c r="F660" s="10"/>
      <c r="H660" s="5"/>
      <c r="I660" s="5"/>
      <c r="O660" s="14"/>
      <c r="P660" s="311"/>
      <c r="Q660" s="25"/>
      <c r="R660" s="24"/>
      <c r="S660" s="26"/>
      <c r="T660" s="4"/>
      <c r="V660" s="20"/>
      <c r="W660" s="5"/>
      <c r="X660" s="5"/>
      <c r="Y660" s="5"/>
    </row>
    <row r="661" spans="3:25" ht="15" customHeight="1">
      <c r="C661" s="1"/>
      <c r="E661" s="7"/>
      <c r="F661" s="10"/>
      <c r="H661" s="5"/>
      <c r="I661" s="5"/>
      <c r="O661" s="14"/>
      <c r="P661" s="311"/>
      <c r="Q661" s="25"/>
      <c r="R661" s="24"/>
      <c r="S661" s="26"/>
      <c r="T661" s="4"/>
      <c r="V661" s="20"/>
      <c r="W661" s="5"/>
      <c r="X661" s="5"/>
      <c r="Y661" s="5"/>
    </row>
    <row r="662" spans="3:25" ht="15" customHeight="1">
      <c r="C662" s="1"/>
      <c r="E662" s="28"/>
      <c r="F662" s="10"/>
      <c r="H662" s="5"/>
      <c r="I662" s="5"/>
      <c r="J662" s="5"/>
      <c r="O662" s="14"/>
      <c r="P662" s="311"/>
      <c r="Q662" s="25"/>
      <c r="R662" s="24"/>
      <c r="S662" s="26"/>
      <c r="T662" s="4"/>
      <c r="V662" s="20"/>
      <c r="W662" s="5"/>
      <c r="X662" s="5"/>
      <c r="Y662" s="5"/>
    </row>
    <row r="663" spans="3:25" ht="15" customHeight="1">
      <c r="C663" s="1"/>
      <c r="E663" s="3"/>
      <c r="F663" s="10"/>
      <c r="I663" s="5"/>
      <c r="J663" s="5"/>
      <c r="O663" s="14"/>
      <c r="P663" s="311"/>
      <c r="Q663" s="25"/>
      <c r="R663" s="24"/>
      <c r="S663" s="26"/>
      <c r="T663" s="4"/>
      <c r="V663" s="20"/>
      <c r="W663" s="5"/>
      <c r="X663" s="5"/>
      <c r="Y663" s="5"/>
    </row>
    <row r="664" spans="3:25" ht="15" customHeight="1">
      <c r="C664" s="1"/>
      <c r="E664" s="3"/>
      <c r="F664" s="10"/>
      <c r="J664" s="5"/>
      <c r="O664" s="14"/>
      <c r="P664" s="311"/>
      <c r="Q664" s="25"/>
      <c r="R664" s="24"/>
      <c r="S664" s="26"/>
      <c r="T664" s="11"/>
      <c r="V664" s="20"/>
      <c r="W664" s="5"/>
      <c r="X664" s="5"/>
      <c r="Y664" s="5"/>
    </row>
    <row r="665" spans="3:25" ht="15" customHeight="1">
      <c r="C665" s="1"/>
      <c r="E665" s="3"/>
      <c r="F665" s="10"/>
      <c r="J665" s="5"/>
      <c r="K665" s="5"/>
    </row>
    <row r="666" spans="3:25" ht="15" customHeight="1">
      <c r="C666" s="1"/>
      <c r="E666" s="3"/>
      <c r="F666" s="10"/>
      <c r="J666" s="5"/>
      <c r="K666" s="5"/>
    </row>
    <row r="667" spans="3:25" ht="15" customHeight="1">
      <c r="C667" s="1"/>
      <c r="E667" s="3"/>
      <c r="F667" s="10"/>
      <c r="J667" s="5"/>
      <c r="K667" s="5"/>
    </row>
    <row r="668" spans="3:25" ht="15" customHeight="1">
      <c r="C668" s="1"/>
      <c r="E668" s="3"/>
      <c r="F668" s="10"/>
      <c r="J668" s="5"/>
      <c r="K668" s="5"/>
    </row>
    <row r="669" spans="3:25" ht="15" customHeight="1">
      <c r="C669" s="1"/>
      <c r="E669" s="3"/>
      <c r="F669" s="10"/>
      <c r="K669" s="5"/>
    </row>
    <row r="670" spans="3:25" ht="15" customHeight="1">
      <c r="C670" s="1"/>
      <c r="E670" s="3"/>
      <c r="F670" s="10"/>
      <c r="K670" s="5"/>
    </row>
    <row r="671" spans="3:25" ht="15" customHeight="1">
      <c r="C671" s="1"/>
      <c r="E671" s="3"/>
      <c r="F671" s="10"/>
      <c r="K671" s="5"/>
    </row>
    <row r="672" spans="3:25" ht="15" customHeight="1">
      <c r="C672" s="1"/>
      <c r="E672" s="3"/>
      <c r="F672" s="10"/>
    </row>
    <row r="673" spans="3:6" ht="15" customHeight="1">
      <c r="C673" s="1"/>
      <c r="E673" s="3"/>
      <c r="F673" s="10"/>
    </row>
    <row r="674" spans="3:6" ht="15" customHeight="1">
      <c r="C674" s="1"/>
      <c r="E674" s="3"/>
      <c r="F674" s="10"/>
    </row>
    <row r="675" spans="3:6" ht="15" customHeight="1">
      <c r="C675" s="1"/>
      <c r="E675" s="3"/>
      <c r="F675" s="10"/>
    </row>
    <row r="676" spans="3:6" ht="15" customHeight="1">
      <c r="C676" s="1"/>
      <c r="E676" s="3"/>
      <c r="F676" s="10"/>
    </row>
    <row r="677" spans="3:6" ht="15" customHeight="1">
      <c r="C677" s="1"/>
      <c r="E677" s="3"/>
      <c r="F677" s="10"/>
    </row>
    <row r="678" spans="3:6" ht="15" customHeight="1">
      <c r="C678" s="1"/>
      <c r="E678" s="3"/>
      <c r="F678" s="10"/>
    </row>
    <row r="679" spans="3:6" ht="15" customHeight="1">
      <c r="C679" s="1"/>
      <c r="E679" s="3"/>
      <c r="F679" s="10"/>
    </row>
    <row r="680" spans="3:6" ht="15" customHeight="1">
      <c r="C680" s="1"/>
      <c r="E680" s="3"/>
      <c r="F680" s="10"/>
    </row>
    <row r="681" spans="3:6" ht="15" customHeight="1">
      <c r="C681" s="1"/>
      <c r="E681" s="3"/>
      <c r="F681" s="10"/>
    </row>
    <row r="682" spans="3:6" ht="15" customHeight="1">
      <c r="C682" s="1"/>
      <c r="E682" s="3"/>
      <c r="F682" s="10"/>
    </row>
    <row r="683" spans="3:6" ht="24.95" customHeight="1">
      <c r="C683" s="1"/>
      <c r="E683" s="3"/>
      <c r="F683" s="10"/>
    </row>
    <row r="684" spans="3:6" ht="24.95" customHeight="1">
      <c r="C684" s="1"/>
      <c r="E684" s="3"/>
      <c r="F684" s="10"/>
    </row>
    <row r="685" spans="3:6" ht="24.95" customHeight="1">
      <c r="C685" s="1"/>
      <c r="E685" s="3"/>
      <c r="F685" s="10"/>
    </row>
    <row r="686" spans="3:6" ht="24.95" customHeight="1">
      <c r="C686" s="1"/>
      <c r="E686" s="3"/>
      <c r="F686" s="10"/>
    </row>
    <row r="687" spans="3:6" ht="24.95" customHeight="1">
      <c r="C687" s="1"/>
      <c r="E687" s="3"/>
      <c r="F687" s="10"/>
    </row>
    <row r="688" spans="3:6" ht="24.95" customHeight="1">
      <c r="C688" s="1"/>
      <c r="E688" s="3"/>
      <c r="F688" s="10"/>
    </row>
    <row r="689" spans="3:6" ht="24.95" customHeight="1">
      <c r="C689" s="1"/>
      <c r="E689" s="3"/>
      <c r="F689" s="10"/>
    </row>
    <row r="690" spans="3:6" ht="24.95" customHeight="1">
      <c r="C690" s="1"/>
      <c r="E690" s="3"/>
      <c r="F690" s="10"/>
    </row>
    <row r="691" spans="3:6" ht="24.95" customHeight="1">
      <c r="C691" s="1"/>
      <c r="E691" s="3"/>
      <c r="F691" s="10"/>
    </row>
    <row r="692" spans="3:6" ht="24.95" customHeight="1">
      <c r="C692" s="1"/>
      <c r="E692" s="3"/>
      <c r="F692" s="10"/>
    </row>
    <row r="693" spans="3:6" ht="24.95" customHeight="1">
      <c r="C693" s="1"/>
      <c r="E693" s="3"/>
      <c r="F693" s="10"/>
    </row>
    <row r="694" spans="3:6" ht="24.95" customHeight="1">
      <c r="C694" s="1"/>
      <c r="E694" s="3"/>
      <c r="F694" s="10"/>
    </row>
    <row r="695" spans="3:6" ht="24.95" customHeight="1">
      <c r="C695" s="1"/>
      <c r="E695" s="3"/>
      <c r="F695" s="10"/>
    </row>
    <row r="696" spans="3:6" ht="24.95" customHeight="1">
      <c r="C696" s="1"/>
      <c r="E696" s="3"/>
      <c r="F696" s="10"/>
    </row>
    <row r="697" spans="3:6" ht="24.95" customHeight="1">
      <c r="C697" s="1"/>
      <c r="E697" s="3"/>
      <c r="F697" s="10"/>
    </row>
    <row r="698" spans="3:6" ht="24.95" customHeight="1">
      <c r="C698" s="1"/>
      <c r="E698" s="3"/>
      <c r="F698" s="10"/>
    </row>
    <row r="699" spans="3:6" ht="24.95" customHeight="1">
      <c r="C699" s="1"/>
      <c r="E699" s="3"/>
      <c r="F699" s="10"/>
    </row>
    <row r="700" spans="3:6" ht="24.95" customHeight="1">
      <c r="C700" s="1"/>
      <c r="E700" s="3"/>
      <c r="F700" s="10"/>
    </row>
    <row r="701" spans="3:6" ht="24.95" customHeight="1">
      <c r="C701" s="1"/>
      <c r="E701" s="3"/>
      <c r="F701" s="10"/>
    </row>
    <row r="702" spans="3:6" ht="24.95" customHeight="1">
      <c r="C702" s="1"/>
      <c r="E702" s="3"/>
      <c r="F702" s="10"/>
    </row>
    <row r="703" spans="3:6" ht="24.95" customHeight="1">
      <c r="C703" s="1"/>
      <c r="E703" s="3"/>
      <c r="F703" s="10"/>
    </row>
    <row r="704" spans="3:6" ht="24.95" customHeight="1">
      <c r="C704" s="1"/>
      <c r="E704" s="3"/>
      <c r="F704" s="10"/>
    </row>
    <row r="705" spans="3:6" ht="24.95" customHeight="1">
      <c r="C705" s="1"/>
      <c r="E705" s="3"/>
      <c r="F705" s="10"/>
    </row>
    <row r="706" spans="3:6" ht="24.95" customHeight="1">
      <c r="C706" s="1"/>
      <c r="E706" s="3"/>
      <c r="F706" s="10"/>
    </row>
    <row r="707" spans="3:6" ht="24.95" customHeight="1">
      <c r="C707" s="1"/>
      <c r="E707" s="3"/>
      <c r="F707" s="10"/>
    </row>
    <row r="708" spans="3:6" ht="24.95" customHeight="1">
      <c r="C708" s="1"/>
      <c r="E708" s="3"/>
      <c r="F708" s="10"/>
    </row>
    <row r="709" spans="3:6" ht="24.95" customHeight="1">
      <c r="C709" s="1"/>
      <c r="E709" s="3"/>
      <c r="F709" s="10"/>
    </row>
    <row r="710" spans="3:6" ht="24.95" customHeight="1">
      <c r="C710" s="1"/>
      <c r="E710" s="3"/>
      <c r="F710" s="10"/>
    </row>
    <row r="711" spans="3:6" ht="24.95" customHeight="1">
      <c r="C711" s="1"/>
      <c r="E711" s="3"/>
      <c r="F711" s="10"/>
    </row>
    <row r="712" spans="3:6" ht="24.95" customHeight="1">
      <c r="C712" s="1"/>
      <c r="E712" s="3"/>
      <c r="F712" s="10"/>
    </row>
    <row r="713" spans="3:6" ht="24.95" customHeight="1">
      <c r="C713" s="1"/>
      <c r="E713" s="3"/>
      <c r="F713" s="10"/>
    </row>
    <row r="714" spans="3:6" ht="24.95" customHeight="1">
      <c r="C714" s="1"/>
      <c r="E714" s="3"/>
      <c r="F714" s="10"/>
    </row>
    <row r="715" spans="3:6" ht="24.95" customHeight="1">
      <c r="C715" s="1"/>
      <c r="E715" s="3"/>
      <c r="F715" s="10"/>
    </row>
    <row r="716" spans="3:6" ht="24.95" customHeight="1">
      <c r="C716" s="1"/>
      <c r="E716" s="3"/>
      <c r="F716" s="10"/>
    </row>
    <row r="717" spans="3:6" ht="24.95" customHeight="1">
      <c r="C717" s="1"/>
      <c r="E717" s="3"/>
      <c r="F717" s="10"/>
    </row>
    <row r="718" spans="3:6" ht="24.95" customHeight="1">
      <c r="C718" s="1"/>
      <c r="E718" s="3"/>
      <c r="F718" s="10"/>
    </row>
    <row r="719" spans="3:6" ht="24.95" customHeight="1">
      <c r="C719" s="1"/>
      <c r="E719" s="3"/>
      <c r="F719" s="10"/>
    </row>
    <row r="720" spans="3:6" ht="24.95" customHeight="1">
      <c r="C720" s="1"/>
      <c r="E720" s="3"/>
      <c r="F720" s="10"/>
    </row>
    <row r="721" spans="3:6" ht="24.95" customHeight="1">
      <c r="C721" s="1"/>
      <c r="E721" s="3"/>
      <c r="F721" s="10"/>
    </row>
    <row r="722" spans="3:6" ht="24.95" customHeight="1">
      <c r="C722" s="1"/>
      <c r="E722" s="3"/>
      <c r="F722" s="10"/>
    </row>
    <row r="723" spans="3:6" ht="24.95" customHeight="1">
      <c r="C723" s="1"/>
      <c r="E723" s="3"/>
      <c r="F723" s="10"/>
    </row>
    <row r="724" spans="3:6" ht="24.95" customHeight="1">
      <c r="C724" s="1"/>
      <c r="E724" s="3"/>
      <c r="F724" s="10"/>
    </row>
    <row r="725" spans="3:6" ht="24.95" customHeight="1">
      <c r="C725" s="1"/>
      <c r="E725" s="3"/>
      <c r="F725" s="10"/>
    </row>
    <row r="726" spans="3:6" ht="24.95" customHeight="1">
      <c r="C726" s="1"/>
      <c r="E726" s="3"/>
      <c r="F726" s="10"/>
    </row>
    <row r="727" spans="3:6" ht="24.95" customHeight="1">
      <c r="C727" s="1"/>
      <c r="E727" s="3"/>
      <c r="F727" s="10"/>
    </row>
    <row r="728" spans="3:6" ht="24.95" customHeight="1">
      <c r="C728" s="1"/>
      <c r="E728" s="3"/>
      <c r="F728" s="10"/>
    </row>
    <row r="729" spans="3:6" ht="24.95" customHeight="1">
      <c r="C729" s="1"/>
      <c r="E729" s="3"/>
      <c r="F729" s="10"/>
    </row>
    <row r="730" spans="3:6" ht="24.95" customHeight="1">
      <c r="C730" s="1"/>
      <c r="E730" s="3"/>
      <c r="F730" s="10"/>
    </row>
    <row r="731" spans="3:6" ht="24.95" customHeight="1">
      <c r="C731" s="1"/>
      <c r="E731" s="3"/>
      <c r="F731" s="10"/>
    </row>
    <row r="732" spans="3:6" ht="24.95" customHeight="1">
      <c r="C732" s="1"/>
      <c r="E732" s="3"/>
      <c r="F732" s="10"/>
    </row>
    <row r="733" spans="3:6" ht="24.95" customHeight="1">
      <c r="C733" s="1"/>
      <c r="E733" s="3"/>
      <c r="F733" s="10"/>
    </row>
    <row r="734" spans="3:6" ht="24.95" customHeight="1">
      <c r="C734" s="1"/>
      <c r="E734" s="3"/>
      <c r="F734" s="10"/>
    </row>
    <row r="735" spans="3:6" ht="24.95" customHeight="1">
      <c r="C735" s="1"/>
      <c r="E735" s="3"/>
      <c r="F735" s="10"/>
    </row>
    <row r="736" spans="3:6" ht="24.95" customHeight="1">
      <c r="C736" s="1"/>
      <c r="E736" s="3"/>
      <c r="F736" s="10"/>
    </row>
    <row r="737" spans="3:6" ht="24.95" customHeight="1">
      <c r="C737" s="1"/>
      <c r="E737" s="3"/>
      <c r="F737" s="10"/>
    </row>
    <row r="738" spans="3:6" ht="24.95" customHeight="1">
      <c r="C738" s="1"/>
      <c r="E738" s="3"/>
      <c r="F738" s="10"/>
    </row>
    <row r="739" spans="3:6" ht="24.95" customHeight="1">
      <c r="C739" s="1"/>
      <c r="E739" s="3"/>
      <c r="F739" s="10"/>
    </row>
    <row r="740" spans="3:6" ht="24.95" customHeight="1">
      <c r="C740" s="1"/>
      <c r="E740" s="3"/>
      <c r="F740" s="10"/>
    </row>
    <row r="741" spans="3:6" ht="24.95" customHeight="1">
      <c r="C741" s="1"/>
      <c r="E741" s="3"/>
      <c r="F741" s="10"/>
    </row>
    <row r="742" spans="3:6" ht="24.95" customHeight="1">
      <c r="C742" s="1"/>
      <c r="E742" s="3"/>
      <c r="F742" s="10"/>
    </row>
    <row r="743" spans="3:6" ht="24.95" customHeight="1">
      <c r="C743" s="1"/>
      <c r="E743" s="3"/>
      <c r="F743" s="10"/>
    </row>
    <row r="744" spans="3:6" ht="24.95" customHeight="1">
      <c r="C744" s="1"/>
      <c r="E744" s="3"/>
      <c r="F744" s="10"/>
    </row>
    <row r="745" spans="3:6" ht="24.95" customHeight="1">
      <c r="C745" s="1"/>
      <c r="E745" s="3"/>
      <c r="F745" s="10"/>
    </row>
    <row r="746" spans="3:6" ht="24.95" customHeight="1">
      <c r="C746" s="1"/>
      <c r="E746" s="3"/>
      <c r="F746" s="10"/>
    </row>
    <row r="747" spans="3:6" ht="24.95" customHeight="1">
      <c r="C747" s="1"/>
      <c r="E747" s="3"/>
      <c r="F747" s="10"/>
    </row>
    <row r="748" spans="3:6" ht="24.95" customHeight="1">
      <c r="C748" s="1"/>
      <c r="E748" s="3"/>
      <c r="F748" s="10"/>
    </row>
    <row r="749" spans="3:6" ht="24.95" customHeight="1">
      <c r="C749" s="1"/>
      <c r="E749" s="3"/>
      <c r="F749" s="10"/>
    </row>
    <row r="750" spans="3:6" ht="24.95" customHeight="1">
      <c r="C750" s="1"/>
      <c r="E750" s="3"/>
      <c r="F750" s="10"/>
    </row>
    <row r="751" spans="3:6" ht="24.95" customHeight="1">
      <c r="C751" s="1"/>
      <c r="E751" s="3"/>
      <c r="F751" s="10"/>
    </row>
    <row r="752" spans="3:6" ht="24.95" customHeight="1">
      <c r="C752" s="1"/>
      <c r="E752" s="3"/>
      <c r="F752" s="10"/>
    </row>
    <row r="753" spans="3:6" ht="24.95" customHeight="1">
      <c r="C753" s="1"/>
      <c r="E753" s="3"/>
      <c r="F753" s="10"/>
    </row>
    <row r="754" spans="3:6" ht="24.95" customHeight="1">
      <c r="C754" s="1"/>
      <c r="E754" s="3"/>
      <c r="F754" s="10"/>
    </row>
    <row r="755" spans="3:6" ht="24.95" customHeight="1">
      <c r="C755" s="1"/>
      <c r="E755" s="3"/>
      <c r="F755" s="10"/>
    </row>
    <row r="756" spans="3:6" ht="24.95" customHeight="1">
      <c r="C756" s="1"/>
      <c r="E756" s="3"/>
      <c r="F756" s="10"/>
    </row>
    <row r="757" spans="3:6" ht="24.95" customHeight="1">
      <c r="C757" s="1"/>
      <c r="E757" s="3"/>
      <c r="F757" s="10"/>
    </row>
    <row r="758" spans="3:6" ht="24.95" customHeight="1">
      <c r="C758" s="1"/>
      <c r="E758" s="3"/>
      <c r="F758" s="10"/>
    </row>
    <row r="759" spans="3:6" ht="24.95" customHeight="1">
      <c r="C759" s="1"/>
      <c r="E759" s="3"/>
      <c r="F759" s="10"/>
    </row>
    <row r="760" spans="3:6" ht="24.95" customHeight="1">
      <c r="C760" s="1"/>
      <c r="E760" s="3"/>
      <c r="F760" s="10"/>
    </row>
    <row r="761" spans="3:6" ht="24.95" customHeight="1">
      <c r="C761" s="1"/>
      <c r="E761" s="3"/>
      <c r="F761" s="10"/>
    </row>
    <row r="762" spans="3:6" ht="24.95" customHeight="1">
      <c r="C762" s="1"/>
      <c r="E762" s="3"/>
      <c r="F762" s="10"/>
    </row>
    <row r="763" spans="3:6" ht="24.95" customHeight="1">
      <c r="C763" s="1"/>
      <c r="E763" s="3"/>
      <c r="F763" s="10"/>
    </row>
    <row r="764" spans="3:6" ht="24.95" customHeight="1">
      <c r="C764" s="1"/>
      <c r="E764" s="3"/>
      <c r="F764" s="10"/>
    </row>
    <row r="765" spans="3:6" ht="24.95" customHeight="1">
      <c r="C765" s="1"/>
      <c r="E765" s="3"/>
      <c r="F765" s="10"/>
    </row>
    <row r="766" spans="3:6" ht="24.95" customHeight="1">
      <c r="C766" s="1"/>
      <c r="E766" s="3"/>
      <c r="F766" s="10"/>
    </row>
    <row r="767" spans="3:6" ht="24.95" customHeight="1">
      <c r="C767" s="1"/>
      <c r="E767" s="3"/>
      <c r="F767" s="10"/>
    </row>
    <row r="768" spans="3:6" ht="24.95" customHeight="1">
      <c r="C768" s="1"/>
      <c r="E768" s="3"/>
      <c r="F768" s="10"/>
    </row>
    <row r="769" spans="3:6" ht="24.95" customHeight="1">
      <c r="C769" s="1"/>
      <c r="E769" s="3"/>
      <c r="F769" s="10"/>
    </row>
    <row r="770" spans="3:6" ht="24.95" customHeight="1">
      <c r="C770" s="1"/>
      <c r="E770" s="3"/>
      <c r="F770" s="10"/>
    </row>
    <row r="771" spans="3:6" ht="24.95" customHeight="1">
      <c r="C771" s="1"/>
      <c r="E771" s="3"/>
      <c r="F771" s="10"/>
    </row>
    <row r="772" spans="3:6" ht="24.95" customHeight="1">
      <c r="C772" s="1"/>
      <c r="E772" s="3"/>
      <c r="F772" s="10"/>
    </row>
    <row r="773" spans="3:6" ht="24.95" customHeight="1">
      <c r="C773" s="1"/>
      <c r="E773" s="3"/>
      <c r="F773" s="10"/>
    </row>
    <row r="774" spans="3:6" ht="24.95" customHeight="1">
      <c r="C774" s="1"/>
      <c r="E774" s="3"/>
      <c r="F774" s="10"/>
    </row>
    <row r="775" spans="3:6" ht="24.95" customHeight="1">
      <c r="C775" s="1"/>
      <c r="E775" s="3"/>
      <c r="F775" s="10"/>
    </row>
    <row r="776" spans="3:6" ht="24.95" customHeight="1">
      <c r="C776" s="1"/>
      <c r="E776" s="3"/>
      <c r="F776" s="10"/>
    </row>
    <row r="777" spans="3:6" ht="24.95" customHeight="1">
      <c r="C777" s="1"/>
      <c r="E777" s="3"/>
      <c r="F777" s="10"/>
    </row>
    <row r="778" spans="3:6" ht="24.95" customHeight="1">
      <c r="C778" s="1"/>
      <c r="E778" s="3"/>
      <c r="F778" s="10"/>
    </row>
    <row r="779" spans="3:6" ht="24.95" customHeight="1">
      <c r="C779" s="1"/>
      <c r="E779" s="3"/>
      <c r="F779" s="10"/>
    </row>
    <row r="780" spans="3:6" ht="24.95" customHeight="1">
      <c r="C780" s="1"/>
      <c r="E780" s="3"/>
      <c r="F780" s="10"/>
    </row>
    <row r="781" spans="3:6" ht="24.95" customHeight="1">
      <c r="C781" s="1"/>
      <c r="E781" s="3"/>
      <c r="F781" s="10"/>
    </row>
    <row r="782" spans="3:6" ht="24.95" customHeight="1">
      <c r="C782" s="1"/>
      <c r="E782" s="3"/>
      <c r="F782" s="10"/>
    </row>
    <row r="783" spans="3:6" ht="24.95" customHeight="1">
      <c r="C783" s="1"/>
      <c r="E783" s="3"/>
      <c r="F783" s="10"/>
    </row>
    <row r="784" spans="3:6" ht="24.95" customHeight="1">
      <c r="C784" s="1"/>
      <c r="E784" s="3"/>
      <c r="F784" s="10"/>
    </row>
    <row r="785" spans="3:6" ht="24.95" customHeight="1">
      <c r="C785" s="1"/>
      <c r="E785" s="3"/>
      <c r="F785" s="10"/>
    </row>
    <row r="786" spans="3:6" ht="24.95" customHeight="1">
      <c r="C786" s="1"/>
      <c r="E786" s="3"/>
      <c r="F786" s="10"/>
    </row>
    <row r="787" spans="3:6" ht="24.95" customHeight="1">
      <c r="C787" s="1"/>
      <c r="E787" s="3"/>
      <c r="F787" s="10"/>
    </row>
    <row r="788" spans="3:6" ht="24.95" customHeight="1">
      <c r="C788" s="1"/>
      <c r="E788" s="3"/>
      <c r="F788" s="10"/>
    </row>
    <row r="789" spans="3:6" ht="24.95" customHeight="1">
      <c r="C789" s="1"/>
      <c r="E789" s="3"/>
      <c r="F789" s="10"/>
    </row>
    <row r="790" spans="3:6" ht="24.95" customHeight="1">
      <c r="C790" s="1"/>
      <c r="E790" s="3"/>
      <c r="F790" s="10"/>
    </row>
    <row r="791" spans="3:6" ht="24.95" customHeight="1">
      <c r="C791" s="1"/>
      <c r="E791" s="3"/>
      <c r="F791" s="10"/>
    </row>
    <row r="792" spans="3:6" ht="24.95" customHeight="1">
      <c r="C792" s="1"/>
      <c r="E792" s="3"/>
      <c r="F792" s="10"/>
    </row>
    <row r="793" spans="3:6" ht="24.95" customHeight="1">
      <c r="C793" s="1"/>
      <c r="E793" s="3"/>
      <c r="F793" s="10"/>
    </row>
    <row r="794" spans="3:6" ht="24.95" customHeight="1">
      <c r="C794" s="1"/>
      <c r="E794" s="3"/>
      <c r="F794" s="10"/>
    </row>
    <row r="795" spans="3:6" ht="24.95" customHeight="1">
      <c r="C795" s="1"/>
      <c r="E795" s="3"/>
      <c r="F795" s="10"/>
    </row>
    <row r="796" spans="3:6" ht="24.95" customHeight="1">
      <c r="C796" s="1"/>
      <c r="E796" s="3"/>
      <c r="F796" s="10"/>
    </row>
    <row r="797" spans="3:6" ht="24.95" customHeight="1">
      <c r="C797" s="1"/>
      <c r="E797" s="3"/>
      <c r="F797" s="10"/>
    </row>
    <row r="798" spans="3:6" ht="24.95" customHeight="1">
      <c r="C798" s="1"/>
      <c r="E798" s="3"/>
      <c r="F798" s="10"/>
    </row>
    <row r="799" spans="3:6" ht="24.95" customHeight="1">
      <c r="C799" s="1"/>
      <c r="E799" s="3"/>
      <c r="F799" s="10"/>
    </row>
    <row r="800" spans="3:6" ht="24.95" customHeight="1">
      <c r="C800" s="1"/>
      <c r="E800" s="3"/>
      <c r="F800" s="10"/>
    </row>
    <row r="801" spans="3:6" ht="24.95" customHeight="1">
      <c r="C801" s="1"/>
      <c r="E801" s="3"/>
      <c r="F801" s="10"/>
    </row>
    <row r="802" spans="3:6" ht="24.95" customHeight="1">
      <c r="C802" s="1"/>
      <c r="E802" s="3"/>
      <c r="F802" s="10"/>
    </row>
    <row r="803" spans="3:6" ht="24.95" customHeight="1">
      <c r="C803" s="1"/>
      <c r="E803" s="3"/>
      <c r="F803" s="10"/>
    </row>
    <row r="804" spans="3:6" ht="24.95" customHeight="1">
      <c r="C804" s="1"/>
      <c r="E804" s="3"/>
      <c r="F804" s="10"/>
    </row>
    <row r="805" spans="3:6" ht="24.95" customHeight="1">
      <c r="C805" s="1"/>
      <c r="E805" s="3"/>
      <c r="F805" s="10"/>
    </row>
    <row r="806" spans="3:6" ht="24.95" customHeight="1">
      <c r="C806" s="1"/>
      <c r="E806" s="3"/>
      <c r="F806" s="10"/>
    </row>
    <row r="807" spans="3:6" ht="24.95" customHeight="1">
      <c r="C807" s="1"/>
      <c r="E807" s="3"/>
      <c r="F807" s="10"/>
    </row>
    <row r="808" spans="3:6" ht="24.95" customHeight="1">
      <c r="C808" s="1"/>
      <c r="E808" s="3"/>
      <c r="F808" s="10"/>
    </row>
    <row r="809" spans="3:6" ht="24.95" customHeight="1">
      <c r="C809" s="1"/>
      <c r="E809" s="3"/>
      <c r="F809" s="10"/>
    </row>
    <row r="810" spans="3:6" ht="24.95" customHeight="1">
      <c r="C810" s="1"/>
      <c r="E810" s="3"/>
      <c r="F810" s="10"/>
    </row>
    <row r="811" spans="3:6" ht="24.95" customHeight="1">
      <c r="C811" s="1"/>
      <c r="E811" s="3"/>
      <c r="F811" s="10"/>
    </row>
    <row r="812" spans="3:6" ht="24.95" customHeight="1">
      <c r="C812" s="1"/>
      <c r="E812" s="3"/>
      <c r="F812" s="10"/>
    </row>
    <row r="813" spans="3:6" ht="24.95" customHeight="1">
      <c r="C813" s="1"/>
      <c r="E813" s="3"/>
      <c r="F813" s="10"/>
    </row>
    <row r="814" spans="3:6" ht="24.95" customHeight="1">
      <c r="C814" s="1"/>
      <c r="E814" s="3"/>
      <c r="F814" s="10"/>
    </row>
    <row r="815" spans="3:6" ht="24.95" customHeight="1">
      <c r="C815" s="1"/>
      <c r="E815" s="3"/>
      <c r="F815" s="10"/>
    </row>
    <row r="816" spans="3:6" ht="24.95" customHeight="1">
      <c r="C816" s="1"/>
      <c r="E816" s="3"/>
      <c r="F816" s="10"/>
    </row>
    <row r="817" spans="3:6" ht="24.95" customHeight="1">
      <c r="C817" s="1"/>
      <c r="E817" s="3"/>
      <c r="F817" s="10"/>
    </row>
    <row r="818" spans="3:6" ht="24.95" customHeight="1">
      <c r="C818" s="1"/>
      <c r="E818" s="3"/>
      <c r="F818" s="10"/>
    </row>
    <row r="819" spans="3:6" ht="24.95" customHeight="1">
      <c r="C819" s="1"/>
      <c r="E819" s="3"/>
      <c r="F819" s="10"/>
    </row>
    <row r="820" spans="3:6" ht="24.95" customHeight="1">
      <c r="C820" s="1"/>
      <c r="E820" s="3"/>
      <c r="F820" s="10"/>
    </row>
    <row r="821" spans="3:6" ht="24.95" customHeight="1">
      <c r="C821" s="1"/>
      <c r="E821" s="3"/>
      <c r="F821" s="10"/>
    </row>
    <row r="822" spans="3:6" ht="24.95" customHeight="1">
      <c r="C822" s="1"/>
      <c r="E822" s="3"/>
      <c r="F822" s="10"/>
    </row>
    <row r="823" spans="3:6" ht="24.95" customHeight="1">
      <c r="C823" s="1"/>
      <c r="E823" s="3"/>
      <c r="F823" s="10"/>
    </row>
    <row r="824" spans="3:6" ht="24.95" customHeight="1">
      <c r="C824" s="1"/>
      <c r="E824" s="3"/>
      <c r="F824" s="10"/>
    </row>
    <row r="825" spans="3:6" ht="24.95" customHeight="1">
      <c r="C825" s="1"/>
      <c r="E825" s="3"/>
      <c r="F825" s="10"/>
    </row>
    <row r="826" spans="3:6" ht="24.95" customHeight="1">
      <c r="C826" s="1"/>
      <c r="E826" s="3"/>
      <c r="F826" s="10"/>
    </row>
    <row r="827" spans="3:6" ht="24.95" customHeight="1">
      <c r="C827" s="1"/>
      <c r="E827" s="3"/>
      <c r="F827" s="10"/>
    </row>
    <row r="828" spans="3:6" ht="24.95" customHeight="1">
      <c r="C828" s="1"/>
      <c r="E828" s="3"/>
      <c r="F828" s="10"/>
    </row>
    <row r="829" spans="3:6" ht="24.95" customHeight="1">
      <c r="C829" s="1"/>
      <c r="E829" s="3"/>
      <c r="F829" s="10"/>
    </row>
    <row r="830" spans="3:6" ht="24.95" customHeight="1">
      <c r="C830" s="1"/>
      <c r="E830" s="3"/>
      <c r="F830" s="10"/>
    </row>
    <row r="831" spans="3:6" ht="24.95" customHeight="1">
      <c r="C831" s="1"/>
      <c r="E831" s="3"/>
      <c r="F831" s="10"/>
    </row>
    <row r="832" spans="3:6" ht="24.95" customHeight="1">
      <c r="C832" s="1"/>
      <c r="E832" s="3"/>
      <c r="F832" s="10"/>
    </row>
    <row r="833" spans="3:6" ht="24.95" customHeight="1">
      <c r="C833" s="1"/>
      <c r="E833" s="3"/>
      <c r="F833" s="10"/>
    </row>
    <row r="834" spans="3:6" ht="24.95" customHeight="1">
      <c r="C834" s="1"/>
      <c r="E834" s="3"/>
      <c r="F834" s="10"/>
    </row>
    <row r="835" spans="3:6" ht="24.95" customHeight="1">
      <c r="C835" s="1"/>
      <c r="E835" s="3"/>
      <c r="F835" s="10"/>
    </row>
    <row r="836" spans="3:6" ht="24.95" customHeight="1">
      <c r="C836" s="1"/>
      <c r="E836" s="3"/>
      <c r="F836" s="10"/>
    </row>
    <row r="837" spans="3:6" ht="24.95" customHeight="1">
      <c r="C837" s="1"/>
      <c r="E837" s="3"/>
      <c r="F837" s="10"/>
    </row>
    <row r="838" spans="3:6" ht="24.95" customHeight="1">
      <c r="C838" s="1"/>
      <c r="E838" s="3"/>
      <c r="F838" s="10"/>
    </row>
    <row r="839" spans="3:6" ht="24.95" customHeight="1">
      <c r="C839" s="1"/>
      <c r="E839" s="3"/>
      <c r="F839" s="10"/>
    </row>
    <row r="840" spans="3:6" ht="24.95" customHeight="1">
      <c r="C840" s="1"/>
      <c r="E840" s="3"/>
      <c r="F840" s="10"/>
    </row>
    <row r="841" spans="3:6" ht="24.95" customHeight="1">
      <c r="C841" s="1"/>
      <c r="E841" s="3"/>
      <c r="F841" s="10"/>
    </row>
    <row r="842" spans="3:6" ht="24.95" customHeight="1">
      <c r="C842" s="1"/>
      <c r="E842" s="3"/>
      <c r="F842" s="10"/>
    </row>
    <row r="843" spans="3:6" ht="24.95" customHeight="1">
      <c r="C843" s="1"/>
      <c r="E843" s="3"/>
      <c r="F843" s="10"/>
    </row>
    <row r="844" spans="3:6" ht="24.95" customHeight="1">
      <c r="C844" s="1"/>
      <c r="E844" s="3"/>
      <c r="F844" s="10"/>
    </row>
    <row r="845" spans="3:6" ht="24.95" customHeight="1">
      <c r="C845" s="1"/>
      <c r="E845" s="3"/>
      <c r="F845" s="10"/>
    </row>
    <row r="846" spans="3:6" ht="24.95" customHeight="1">
      <c r="C846" s="1"/>
      <c r="E846" s="3"/>
      <c r="F846" s="10"/>
    </row>
    <row r="847" spans="3:6" ht="24.95" customHeight="1">
      <c r="C847" s="1"/>
      <c r="E847" s="3"/>
      <c r="F847" s="10"/>
    </row>
    <row r="848" spans="3:6" ht="24.95" customHeight="1">
      <c r="C848" s="1"/>
      <c r="E848" s="3"/>
      <c r="F848" s="10"/>
    </row>
    <row r="849" spans="3:6" ht="24.95" customHeight="1">
      <c r="C849" s="1"/>
      <c r="E849" s="3"/>
      <c r="F849" s="10"/>
    </row>
    <row r="850" spans="3:6" ht="24.95" customHeight="1">
      <c r="C850" s="1"/>
      <c r="E850" s="3"/>
      <c r="F850" s="10"/>
    </row>
    <row r="851" spans="3:6" ht="24.95" customHeight="1">
      <c r="C851" s="1"/>
      <c r="E851" s="3"/>
      <c r="F851" s="10"/>
    </row>
    <row r="852" spans="3:6" ht="24.95" customHeight="1">
      <c r="C852" s="1"/>
      <c r="E852" s="3"/>
      <c r="F852" s="10"/>
    </row>
    <row r="853" spans="3:6" ht="24.95" customHeight="1">
      <c r="C853" s="1"/>
      <c r="E853" s="3"/>
      <c r="F853" s="10"/>
    </row>
    <row r="854" spans="3:6" ht="24.95" customHeight="1">
      <c r="C854" s="1"/>
      <c r="E854" s="3"/>
      <c r="F854" s="10"/>
    </row>
    <row r="855" spans="3:6" ht="24.95" customHeight="1">
      <c r="C855" s="1"/>
      <c r="E855" s="3"/>
      <c r="F855" s="10"/>
    </row>
    <row r="856" spans="3:6" ht="24.95" customHeight="1">
      <c r="C856" s="1"/>
      <c r="E856" s="3"/>
      <c r="F856" s="10"/>
    </row>
    <row r="857" spans="3:6" ht="24.95" customHeight="1">
      <c r="C857" s="1"/>
      <c r="E857" s="3"/>
      <c r="F857" s="10"/>
    </row>
    <row r="858" spans="3:6" ht="24.95" customHeight="1">
      <c r="C858" s="1"/>
      <c r="E858" s="3"/>
      <c r="F858" s="10"/>
    </row>
    <row r="859" spans="3:6" ht="24.95" customHeight="1">
      <c r="C859" s="1"/>
      <c r="E859" s="3"/>
      <c r="F859" s="10"/>
    </row>
    <row r="860" spans="3:6" ht="24.95" customHeight="1">
      <c r="C860" s="1"/>
      <c r="E860" s="3"/>
      <c r="F860" s="10"/>
    </row>
    <row r="861" spans="3:6" ht="24.95" customHeight="1">
      <c r="C861" s="1"/>
      <c r="E861" s="3"/>
      <c r="F861" s="10"/>
    </row>
    <row r="862" spans="3:6" ht="24.95" customHeight="1">
      <c r="C862" s="1"/>
      <c r="E862" s="3"/>
      <c r="F862" s="10"/>
    </row>
    <row r="863" spans="3:6" ht="24.95" customHeight="1">
      <c r="C863" s="1"/>
      <c r="E863" s="3"/>
      <c r="F863" s="10"/>
    </row>
    <row r="864" spans="3:6" ht="24.95" customHeight="1">
      <c r="C864" s="1"/>
      <c r="E864" s="3"/>
      <c r="F864" s="10"/>
    </row>
    <row r="865" spans="3:6" ht="24.95" customHeight="1">
      <c r="C865" s="1"/>
      <c r="E865" s="3"/>
      <c r="F865" s="10"/>
    </row>
    <row r="866" spans="3:6" ht="24.95" customHeight="1">
      <c r="C866" s="1"/>
      <c r="E866" s="3"/>
      <c r="F866" s="10"/>
    </row>
    <row r="867" spans="3:6" ht="24.95" customHeight="1">
      <c r="C867" s="1"/>
      <c r="E867" s="3"/>
      <c r="F867" s="10"/>
    </row>
    <row r="868" spans="3:6" ht="24.95" customHeight="1">
      <c r="C868" s="1"/>
      <c r="E868" s="3"/>
      <c r="F868" s="10"/>
    </row>
    <row r="869" spans="3:6" ht="24.95" customHeight="1">
      <c r="C869" s="1"/>
      <c r="E869" s="3"/>
      <c r="F869" s="10"/>
    </row>
    <row r="870" spans="3:6" ht="24.95" customHeight="1">
      <c r="C870" s="1"/>
      <c r="E870" s="3"/>
      <c r="F870" s="10"/>
    </row>
    <row r="871" spans="3:6" ht="24.95" customHeight="1">
      <c r="C871" s="1"/>
      <c r="E871" s="3"/>
      <c r="F871" s="10"/>
    </row>
    <row r="872" spans="3:6" ht="24.95" customHeight="1">
      <c r="C872" s="1"/>
      <c r="E872" s="3"/>
      <c r="F872" s="10"/>
    </row>
    <row r="873" spans="3:6" ht="24.95" customHeight="1">
      <c r="C873" s="1"/>
      <c r="E873" s="3"/>
      <c r="F873" s="10"/>
    </row>
    <row r="874" spans="3:6" ht="24.95" customHeight="1">
      <c r="C874" s="1"/>
      <c r="E874" s="3"/>
      <c r="F874" s="10"/>
    </row>
    <row r="875" spans="3:6" ht="24.95" customHeight="1">
      <c r="C875" s="1"/>
      <c r="E875" s="3"/>
      <c r="F875" s="10"/>
    </row>
    <row r="876" spans="3:6" ht="24.95" customHeight="1">
      <c r="C876" s="1"/>
      <c r="E876" s="3"/>
      <c r="F876" s="10"/>
    </row>
    <row r="877" spans="3:6" ht="24.95" customHeight="1">
      <c r="C877" s="1"/>
      <c r="E877" s="3"/>
      <c r="F877" s="10"/>
    </row>
    <row r="878" spans="3:6" ht="24.95" customHeight="1">
      <c r="C878" s="1"/>
      <c r="E878" s="3"/>
      <c r="F878" s="10"/>
    </row>
    <row r="879" spans="3:6" ht="24.95" customHeight="1">
      <c r="C879" s="1"/>
      <c r="E879" s="3"/>
      <c r="F879" s="10"/>
    </row>
    <row r="880" spans="3:6" ht="24.95" customHeight="1">
      <c r="C880" s="1"/>
      <c r="E880" s="3"/>
      <c r="F880" s="10"/>
    </row>
    <row r="881" spans="3:6" ht="24.95" customHeight="1">
      <c r="C881" s="1"/>
      <c r="E881" s="3"/>
      <c r="F881" s="10"/>
    </row>
    <row r="882" spans="3:6" ht="24.95" customHeight="1">
      <c r="C882" s="1"/>
      <c r="E882" s="3"/>
      <c r="F882" s="10"/>
    </row>
    <row r="883" spans="3:6" ht="24.95" customHeight="1">
      <c r="C883" s="1"/>
      <c r="E883" s="3"/>
      <c r="F883" s="10"/>
    </row>
    <row r="884" spans="3:6" ht="24.95" customHeight="1">
      <c r="C884" s="1"/>
      <c r="E884" s="3"/>
      <c r="F884" s="10"/>
    </row>
    <row r="885" spans="3:6" ht="24.95" customHeight="1">
      <c r="C885" s="1"/>
      <c r="E885" s="3"/>
      <c r="F885" s="10"/>
    </row>
    <row r="886" spans="3:6" ht="24.95" customHeight="1">
      <c r="C886" s="1"/>
      <c r="E886" s="3"/>
      <c r="F886" s="10"/>
    </row>
    <row r="887" spans="3:6" ht="24.95" customHeight="1">
      <c r="C887" s="1"/>
      <c r="E887" s="3"/>
      <c r="F887" s="10"/>
    </row>
    <row r="888" spans="3:6" ht="24.95" customHeight="1">
      <c r="C888" s="1"/>
      <c r="E888" s="3"/>
      <c r="F888" s="10"/>
    </row>
    <row r="889" spans="3:6" ht="24.95" customHeight="1">
      <c r="C889" s="1"/>
      <c r="E889" s="3"/>
      <c r="F889" s="10"/>
    </row>
    <row r="890" spans="3:6" ht="24.95" customHeight="1">
      <c r="C890" s="1"/>
      <c r="E890" s="3"/>
      <c r="F890" s="10"/>
    </row>
    <row r="891" spans="3:6" ht="24.95" customHeight="1">
      <c r="C891" s="1"/>
      <c r="E891" s="3"/>
      <c r="F891" s="10"/>
    </row>
    <row r="892" spans="3:6" ht="24.95" customHeight="1">
      <c r="C892" s="1"/>
      <c r="E892" s="3"/>
      <c r="F892" s="10"/>
    </row>
    <row r="893" spans="3:6" ht="24.95" customHeight="1">
      <c r="C893" s="1"/>
      <c r="E893" s="3"/>
      <c r="F893" s="10"/>
    </row>
    <row r="894" spans="3:6" ht="24.95" customHeight="1">
      <c r="C894" s="1"/>
      <c r="E894" s="3"/>
      <c r="F894" s="10"/>
    </row>
    <row r="895" spans="3:6" ht="24.95" customHeight="1">
      <c r="C895" s="1"/>
      <c r="E895" s="3"/>
      <c r="F895" s="10"/>
    </row>
    <row r="896" spans="3:6" ht="24.95" customHeight="1">
      <c r="C896" s="1"/>
      <c r="E896" s="3"/>
      <c r="F896" s="10"/>
    </row>
    <row r="897" spans="3:6" ht="24.95" customHeight="1">
      <c r="C897" s="1"/>
      <c r="E897" s="3"/>
      <c r="F897" s="10"/>
    </row>
    <row r="898" spans="3:6" ht="24.95" customHeight="1">
      <c r="C898" s="1"/>
      <c r="E898" s="3"/>
      <c r="F898" s="10"/>
    </row>
    <row r="899" spans="3:6" ht="24.95" customHeight="1">
      <c r="C899" s="1"/>
      <c r="E899" s="3"/>
      <c r="F899" s="10"/>
    </row>
    <row r="900" spans="3:6" ht="24.95" customHeight="1">
      <c r="C900" s="1"/>
      <c r="E900" s="3"/>
      <c r="F900" s="10"/>
    </row>
    <row r="901" spans="3:6" ht="24.95" customHeight="1">
      <c r="C901" s="1"/>
      <c r="E901" s="3"/>
      <c r="F901" s="10"/>
    </row>
    <row r="902" spans="3:6" ht="24.95" customHeight="1">
      <c r="C902" s="1"/>
      <c r="E902" s="3"/>
      <c r="F902" s="10"/>
    </row>
    <row r="903" spans="3:6" ht="24.95" customHeight="1">
      <c r="C903" s="1"/>
      <c r="E903" s="3"/>
      <c r="F903" s="10"/>
    </row>
    <row r="904" spans="3:6" ht="24.95" customHeight="1">
      <c r="C904" s="1"/>
      <c r="E904" s="3"/>
      <c r="F904" s="10"/>
    </row>
    <row r="905" spans="3:6" ht="24.95" customHeight="1">
      <c r="C905" s="1"/>
      <c r="E905" s="3"/>
      <c r="F905" s="10"/>
    </row>
    <row r="906" spans="3:6" ht="24.95" customHeight="1">
      <c r="C906" s="1"/>
      <c r="E906" s="3"/>
      <c r="F906" s="10"/>
    </row>
    <row r="907" spans="3:6" ht="24.95" customHeight="1">
      <c r="C907" s="1"/>
      <c r="E907" s="3"/>
      <c r="F907" s="10"/>
    </row>
    <row r="908" spans="3:6" ht="24.95" customHeight="1">
      <c r="C908" s="1"/>
      <c r="E908" s="3"/>
      <c r="F908" s="10"/>
    </row>
    <row r="909" spans="3:6" ht="24.95" customHeight="1">
      <c r="C909" s="1"/>
      <c r="E909" s="3"/>
      <c r="F909" s="10"/>
    </row>
    <row r="910" spans="3:6" ht="24.95" customHeight="1">
      <c r="C910" s="1"/>
      <c r="E910" s="3"/>
      <c r="F910" s="10"/>
    </row>
    <row r="911" spans="3:6" ht="24.95" customHeight="1">
      <c r="C911" s="1"/>
      <c r="E911" s="3"/>
      <c r="F911" s="10"/>
    </row>
    <row r="912" spans="3:6">
      <c r="C912" s="1"/>
      <c r="E912" s="3"/>
      <c r="F912" s="10"/>
    </row>
    <row r="913" spans="3:6">
      <c r="C913" s="1"/>
      <c r="E913" s="3"/>
      <c r="F913" s="10"/>
    </row>
    <row r="914" spans="3:6">
      <c r="C914" s="1"/>
      <c r="E914" s="3"/>
      <c r="F914" s="10"/>
    </row>
    <row r="915" spans="3:6">
      <c r="C915" s="1"/>
      <c r="E915" s="3"/>
      <c r="F915" s="10"/>
    </row>
    <row r="916" spans="3:6">
      <c r="C916" s="1"/>
      <c r="E916" s="3"/>
      <c r="F916" s="10"/>
    </row>
    <row r="917" spans="3:6">
      <c r="C917" s="1"/>
      <c r="E917" s="3"/>
      <c r="F917" s="10"/>
    </row>
    <row r="918" spans="3:6">
      <c r="C918" s="1"/>
      <c r="E918" s="3"/>
      <c r="F918" s="10"/>
    </row>
    <row r="919" spans="3:6">
      <c r="C919" s="1"/>
      <c r="E919" s="3"/>
      <c r="F919" s="10"/>
    </row>
    <row r="920" spans="3:6">
      <c r="C920" s="1"/>
      <c r="E920" s="3"/>
      <c r="F920" s="10"/>
    </row>
    <row r="921" spans="3:6">
      <c r="C921" s="1"/>
      <c r="E921" s="3"/>
      <c r="F921" s="10"/>
    </row>
    <row r="922" spans="3:6">
      <c r="C922" s="1"/>
      <c r="E922" s="3"/>
      <c r="F922" s="10"/>
    </row>
    <row r="923" spans="3:6">
      <c r="C923" s="1"/>
      <c r="E923" s="3"/>
      <c r="F923" s="10"/>
    </row>
    <row r="924" spans="3:6">
      <c r="C924" s="1"/>
      <c r="E924" s="3"/>
      <c r="F924" s="10"/>
    </row>
    <row r="925" spans="3:6">
      <c r="C925" s="1"/>
      <c r="E925" s="3"/>
      <c r="F925" s="10"/>
    </row>
    <row r="926" spans="3:6">
      <c r="C926" s="1"/>
      <c r="E926" s="3"/>
      <c r="F926" s="10"/>
    </row>
    <row r="927" spans="3:6">
      <c r="C927" s="1"/>
      <c r="E927" s="3"/>
      <c r="F927" s="10"/>
    </row>
    <row r="928" spans="3:6">
      <c r="C928" s="1"/>
      <c r="E928" s="3"/>
      <c r="F928" s="10"/>
    </row>
    <row r="929" spans="3:6">
      <c r="C929" s="1"/>
      <c r="E929" s="3"/>
      <c r="F929" s="10"/>
    </row>
    <row r="930" spans="3:6">
      <c r="C930" s="1"/>
      <c r="E930" s="3"/>
      <c r="F930" s="10"/>
    </row>
    <row r="931" spans="3:6">
      <c r="C931" s="1"/>
      <c r="E931" s="3"/>
      <c r="F931" s="10"/>
    </row>
    <row r="932" spans="3:6">
      <c r="C932" s="1"/>
      <c r="E932" s="3"/>
      <c r="F932" s="10"/>
    </row>
    <row r="933" spans="3:6">
      <c r="C933" s="1"/>
      <c r="E933" s="3"/>
      <c r="F933" s="10"/>
    </row>
    <row r="934" spans="3:6">
      <c r="C934" s="1"/>
      <c r="E934" s="3"/>
      <c r="F934" s="10"/>
    </row>
    <row r="935" spans="3:6">
      <c r="C935" s="1"/>
      <c r="E935" s="3"/>
      <c r="F935" s="10"/>
    </row>
    <row r="936" spans="3:6">
      <c r="C936" s="1"/>
      <c r="E936" s="3"/>
      <c r="F936" s="10"/>
    </row>
    <row r="937" spans="3:6">
      <c r="C937" s="1"/>
      <c r="E937" s="3"/>
      <c r="F937" s="10"/>
    </row>
    <row r="938" spans="3:6">
      <c r="C938" s="1"/>
      <c r="E938" s="3"/>
      <c r="F938" s="10"/>
    </row>
    <row r="939" spans="3:6">
      <c r="C939" s="1"/>
      <c r="E939" s="3"/>
      <c r="F939" s="10"/>
    </row>
    <row r="940" spans="3:6">
      <c r="C940" s="1"/>
      <c r="E940" s="3"/>
      <c r="F940" s="10"/>
    </row>
    <row r="941" spans="3:6">
      <c r="C941" s="1"/>
      <c r="E941" s="3"/>
      <c r="F941" s="10"/>
    </row>
    <row r="942" spans="3:6">
      <c r="C942" s="1"/>
      <c r="E942" s="3"/>
      <c r="F942" s="10"/>
    </row>
    <row r="943" spans="3:6">
      <c r="C943" s="1"/>
      <c r="E943" s="3"/>
      <c r="F943" s="10"/>
    </row>
    <row r="944" spans="3:6">
      <c r="C944" s="1"/>
      <c r="E944" s="3"/>
      <c r="F944" s="10"/>
    </row>
    <row r="945" spans="3:6">
      <c r="C945" s="1"/>
      <c r="E945" s="3"/>
      <c r="F945" s="10"/>
    </row>
    <row r="946" spans="3:6">
      <c r="C946" s="1"/>
      <c r="E946" s="3"/>
      <c r="F946" s="10"/>
    </row>
    <row r="947" spans="3:6">
      <c r="C947" s="1"/>
      <c r="E947" s="3"/>
      <c r="F947" s="10"/>
    </row>
    <row r="948" spans="3:6">
      <c r="C948" s="1"/>
      <c r="E948" s="3"/>
      <c r="F948" s="10"/>
    </row>
    <row r="949" spans="3:6">
      <c r="C949" s="1"/>
      <c r="E949" s="3"/>
      <c r="F949" s="10"/>
    </row>
    <row r="950" spans="3:6">
      <c r="C950" s="1"/>
      <c r="E950" s="3"/>
      <c r="F950" s="10"/>
    </row>
    <row r="951" spans="3:6">
      <c r="C951" s="1"/>
      <c r="E951" s="3"/>
      <c r="F951" s="10"/>
    </row>
    <row r="952" spans="3:6">
      <c r="C952" s="1"/>
      <c r="E952" s="3"/>
      <c r="F952" s="10"/>
    </row>
    <row r="953" spans="3:6">
      <c r="C953" s="1"/>
      <c r="E953" s="3"/>
      <c r="F953" s="10"/>
    </row>
    <row r="954" spans="3:6">
      <c r="C954" s="1"/>
      <c r="E954" s="3"/>
      <c r="F954" s="10"/>
    </row>
    <row r="955" spans="3:6">
      <c r="C955" s="1"/>
      <c r="E955" s="3"/>
      <c r="F955" s="10"/>
    </row>
    <row r="956" spans="3:6">
      <c r="C956" s="1"/>
      <c r="E956" s="3"/>
      <c r="F956" s="10"/>
    </row>
    <row r="957" spans="3:6">
      <c r="C957" s="1"/>
      <c r="E957" s="3"/>
      <c r="F957" s="10"/>
    </row>
    <row r="958" spans="3:6">
      <c r="C958" s="1"/>
      <c r="E958" s="3"/>
      <c r="F958" s="10"/>
    </row>
    <row r="959" spans="3:6">
      <c r="C959" s="1"/>
      <c r="E959" s="3"/>
      <c r="F959" s="10"/>
    </row>
    <row r="960" spans="3:6">
      <c r="C960" s="1"/>
      <c r="E960" s="3"/>
      <c r="F960" s="10"/>
    </row>
    <row r="961" spans="3:6">
      <c r="C961" s="1"/>
      <c r="E961" s="3"/>
      <c r="F961" s="10"/>
    </row>
    <row r="962" spans="3:6">
      <c r="C962" s="1"/>
      <c r="E962" s="3"/>
      <c r="F962" s="10"/>
    </row>
    <row r="963" spans="3:6">
      <c r="C963" s="1"/>
      <c r="E963" s="3"/>
      <c r="F963" s="10"/>
    </row>
    <row r="964" spans="3:6">
      <c r="C964" s="1"/>
      <c r="E964" s="3"/>
      <c r="F964" s="10"/>
    </row>
    <row r="965" spans="3:6">
      <c r="C965" s="1"/>
      <c r="E965" s="3"/>
      <c r="F965" s="10"/>
    </row>
    <row r="966" spans="3:6">
      <c r="C966" s="1"/>
      <c r="E966" s="3"/>
      <c r="F966" s="10"/>
    </row>
    <row r="967" spans="3:6">
      <c r="C967" s="1"/>
      <c r="E967" s="3"/>
      <c r="F967" s="10"/>
    </row>
    <row r="968" spans="3:6">
      <c r="C968" s="1"/>
      <c r="E968" s="3"/>
      <c r="F968" s="10"/>
    </row>
    <row r="969" spans="3:6">
      <c r="C969" s="1"/>
      <c r="E969" s="3"/>
      <c r="F969" s="10"/>
    </row>
    <row r="970" spans="3:6">
      <c r="C970" s="1"/>
      <c r="E970" s="3"/>
      <c r="F970" s="10"/>
    </row>
    <row r="971" spans="3:6">
      <c r="C971" s="1"/>
      <c r="E971" s="3"/>
      <c r="F971" s="10"/>
    </row>
    <row r="972" spans="3:6">
      <c r="C972" s="1"/>
      <c r="E972" s="3"/>
      <c r="F972" s="10"/>
    </row>
    <row r="973" spans="3:6">
      <c r="C973" s="1"/>
      <c r="E973" s="3"/>
      <c r="F973" s="10"/>
    </row>
    <row r="974" spans="3:6">
      <c r="C974" s="1"/>
      <c r="E974" s="3"/>
      <c r="F974" s="10"/>
    </row>
    <row r="975" spans="3:6">
      <c r="C975" s="1"/>
      <c r="E975" s="3"/>
      <c r="F975" s="10"/>
    </row>
    <row r="976" spans="3:6">
      <c r="C976" s="1"/>
      <c r="E976" s="3"/>
      <c r="F976" s="10"/>
    </row>
    <row r="977" spans="3:6">
      <c r="C977" s="1"/>
      <c r="E977" s="3"/>
      <c r="F977" s="10"/>
    </row>
    <row r="978" spans="3:6">
      <c r="C978" s="1"/>
      <c r="E978" s="3"/>
      <c r="F978" s="10"/>
    </row>
    <row r="979" spans="3:6">
      <c r="C979" s="1"/>
      <c r="E979" s="3"/>
      <c r="F979" s="10"/>
    </row>
    <row r="980" spans="3:6">
      <c r="C980" s="1"/>
      <c r="E980" s="3"/>
      <c r="F980" s="10"/>
    </row>
    <row r="981" spans="3:6">
      <c r="C981" s="1"/>
      <c r="E981" s="3"/>
      <c r="F981" s="10"/>
    </row>
    <row r="982" spans="3:6">
      <c r="C982" s="1"/>
      <c r="E982" s="3"/>
      <c r="F982" s="10"/>
    </row>
    <row r="983" spans="3:6">
      <c r="C983" s="1"/>
      <c r="E983" s="3"/>
      <c r="F983" s="10"/>
    </row>
    <row r="984" spans="3:6">
      <c r="C984" s="1"/>
      <c r="E984" s="3"/>
      <c r="F984" s="10"/>
    </row>
    <row r="985" spans="3:6">
      <c r="C985" s="1"/>
      <c r="E985" s="3"/>
      <c r="F985" s="10"/>
    </row>
    <row r="986" spans="3:6">
      <c r="C986" s="1"/>
      <c r="E986" s="3"/>
      <c r="F986" s="10"/>
    </row>
    <row r="987" spans="3:6">
      <c r="C987" s="1"/>
      <c r="E987" s="3"/>
      <c r="F987" s="10"/>
    </row>
    <row r="988" spans="3:6">
      <c r="C988" s="1"/>
      <c r="E988" s="3"/>
      <c r="F988" s="10"/>
    </row>
    <row r="989" spans="3:6">
      <c r="C989" s="1"/>
      <c r="E989" s="3"/>
      <c r="F989" s="10"/>
    </row>
    <row r="990" spans="3:6">
      <c r="C990" s="1"/>
      <c r="E990" s="3"/>
      <c r="F990" s="10"/>
    </row>
    <row r="991" spans="3:6">
      <c r="C991" s="1"/>
      <c r="E991" s="3"/>
      <c r="F991" s="10"/>
    </row>
    <row r="992" spans="3:6">
      <c r="C992" s="1"/>
      <c r="E992" s="3"/>
      <c r="F992" s="10"/>
    </row>
    <row r="993" spans="3:6">
      <c r="C993" s="1"/>
      <c r="E993" s="3"/>
      <c r="F993" s="10"/>
    </row>
    <row r="994" spans="3:6">
      <c r="C994" s="1"/>
      <c r="E994" s="3"/>
      <c r="F994" s="10"/>
    </row>
    <row r="995" spans="3:6">
      <c r="C995" s="1"/>
      <c r="E995" s="3"/>
      <c r="F995" s="10"/>
    </row>
    <row r="996" spans="3:6">
      <c r="C996" s="1"/>
      <c r="E996" s="3"/>
      <c r="F996" s="10"/>
    </row>
    <row r="997" spans="3:6">
      <c r="C997" s="1"/>
      <c r="E997" s="3"/>
      <c r="F997" s="10"/>
    </row>
    <row r="998" spans="3:6">
      <c r="C998" s="1"/>
      <c r="E998" s="3"/>
      <c r="F998" s="10"/>
    </row>
    <row r="999" spans="3:6">
      <c r="C999" s="1"/>
      <c r="E999" s="3"/>
      <c r="F999" s="10"/>
    </row>
    <row r="1000" spans="3:6">
      <c r="C1000" s="1"/>
      <c r="E1000" s="3"/>
      <c r="F1000" s="10"/>
    </row>
    <row r="1001" spans="3:6">
      <c r="C1001" s="1"/>
      <c r="E1001" s="3"/>
      <c r="F1001" s="10"/>
    </row>
    <row r="1002" spans="3:6">
      <c r="C1002" s="1"/>
      <c r="E1002" s="3"/>
      <c r="F1002" s="10"/>
    </row>
    <row r="1003" spans="3:6">
      <c r="C1003" s="1"/>
      <c r="E1003" s="3"/>
      <c r="F1003" s="10"/>
    </row>
    <row r="1004" spans="3:6">
      <c r="C1004" s="1"/>
      <c r="E1004" s="3"/>
      <c r="F1004" s="10"/>
    </row>
    <row r="1005" spans="3:6">
      <c r="C1005" s="1"/>
      <c r="E1005" s="3"/>
      <c r="F1005" s="10"/>
    </row>
    <row r="1006" spans="3:6">
      <c r="C1006" s="1"/>
      <c r="E1006" s="3"/>
      <c r="F1006" s="10"/>
    </row>
    <row r="1007" spans="3:6">
      <c r="C1007" s="1"/>
      <c r="E1007" s="3"/>
      <c r="F1007" s="10"/>
    </row>
    <row r="1008" spans="3:6">
      <c r="C1008" s="1"/>
      <c r="E1008" s="3"/>
      <c r="F1008" s="10"/>
    </row>
    <row r="1009" spans="3:6">
      <c r="C1009" s="1"/>
      <c r="E1009" s="3"/>
      <c r="F1009" s="10"/>
    </row>
    <row r="1010" spans="3:6">
      <c r="C1010" s="1"/>
      <c r="E1010" s="3"/>
      <c r="F1010" s="10"/>
    </row>
    <row r="1011" spans="3:6">
      <c r="C1011" s="1"/>
      <c r="E1011" s="3"/>
      <c r="F1011" s="10"/>
    </row>
    <row r="1012" spans="3:6">
      <c r="C1012" s="1"/>
      <c r="E1012" s="3"/>
      <c r="F1012" s="10"/>
    </row>
    <row r="1013" spans="3:6">
      <c r="C1013" s="1"/>
      <c r="E1013" s="3"/>
      <c r="F1013" s="10"/>
    </row>
    <row r="1014" spans="3:6">
      <c r="C1014" s="1"/>
      <c r="E1014" s="3"/>
      <c r="F1014" s="10"/>
    </row>
    <row r="1015" spans="3:6">
      <c r="C1015" s="1"/>
      <c r="E1015" s="3"/>
      <c r="F1015" s="10"/>
    </row>
    <row r="1016" spans="3:6">
      <c r="C1016" s="1"/>
      <c r="E1016" s="3"/>
      <c r="F1016" s="10"/>
    </row>
    <row r="1017" spans="3:6">
      <c r="C1017" s="1"/>
      <c r="E1017" s="3"/>
      <c r="F1017" s="10"/>
    </row>
    <row r="1018" spans="3:6">
      <c r="C1018" s="1"/>
      <c r="E1018" s="3"/>
      <c r="F1018" s="10"/>
    </row>
    <row r="1019" spans="3:6">
      <c r="C1019" s="1"/>
      <c r="E1019" s="3"/>
      <c r="F1019" s="10"/>
    </row>
    <row r="1020" spans="3:6">
      <c r="C1020" s="1"/>
      <c r="E1020" s="3"/>
      <c r="F1020" s="10"/>
    </row>
    <row r="1021" spans="3:6">
      <c r="C1021" s="1"/>
      <c r="E1021" s="3"/>
      <c r="F1021" s="10"/>
    </row>
    <row r="1022" spans="3:6">
      <c r="C1022" s="1"/>
      <c r="E1022" s="3"/>
      <c r="F1022" s="10"/>
    </row>
    <row r="1023" spans="3:6">
      <c r="C1023" s="1"/>
      <c r="E1023" s="3"/>
      <c r="F1023" s="10"/>
    </row>
    <row r="1024" spans="3:6">
      <c r="C1024" s="1"/>
      <c r="E1024" s="3"/>
      <c r="F1024" s="10"/>
    </row>
    <row r="1025" spans="3:6">
      <c r="C1025" s="1"/>
      <c r="E1025" s="3"/>
      <c r="F1025" s="10"/>
    </row>
    <row r="1026" spans="3:6">
      <c r="C1026" s="1"/>
      <c r="E1026" s="3"/>
      <c r="F1026" s="10"/>
    </row>
    <row r="1027" spans="3:6">
      <c r="C1027" s="1"/>
      <c r="E1027" s="3"/>
      <c r="F1027" s="10"/>
    </row>
    <row r="1028" spans="3:6">
      <c r="C1028" s="1"/>
      <c r="E1028" s="3"/>
      <c r="F1028" s="10"/>
    </row>
    <row r="1029" spans="3:6">
      <c r="C1029" s="1"/>
      <c r="E1029" s="3"/>
      <c r="F1029" s="10"/>
    </row>
    <row r="1030" spans="3:6">
      <c r="C1030" s="1"/>
      <c r="E1030" s="3"/>
      <c r="F1030" s="10"/>
    </row>
    <row r="1031" spans="3:6">
      <c r="C1031" s="1"/>
      <c r="E1031" s="3"/>
      <c r="F1031" s="10"/>
    </row>
    <row r="1032" spans="3:6">
      <c r="C1032" s="1"/>
      <c r="E1032" s="3"/>
      <c r="F1032" s="10"/>
    </row>
    <row r="1033" spans="3:6">
      <c r="C1033" s="1"/>
      <c r="E1033" s="3"/>
      <c r="F1033" s="10"/>
    </row>
    <row r="1034" spans="3:6">
      <c r="C1034" s="1"/>
      <c r="E1034" s="3"/>
      <c r="F1034" s="10"/>
    </row>
    <row r="1035" spans="3:6">
      <c r="C1035" s="1"/>
      <c r="E1035" s="3"/>
      <c r="F1035" s="10"/>
    </row>
    <row r="1036" spans="3:6">
      <c r="C1036" s="1"/>
      <c r="E1036" s="3"/>
      <c r="F1036" s="10"/>
    </row>
    <row r="1037" spans="3:6">
      <c r="C1037" s="1"/>
      <c r="E1037" s="3"/>
      <c r="F1037" s="10"/>
    </row>
    <row r="1038" spans="3:6">
      <c r="C1038" s="1"/>
      <c r="E1038" s="3"/>
      <c r="F1038" s="10"/>
    </row>
    <row r="1039" spans="3:6">
      <c r="C1039" s="1"/>
      <c r="E1039" s="3"/>
      <c r="F1039" s="10"/>
    </row>
    <row r="1040" spans="3:6">
      <c r="C1040" s="1"/>
      <c r="E1040" s="3"/>
      <c r="F1040" s="10"/>
    </row>
    <row r="1041" spans="3:6">
      <c r="C1041" s="1"/>
      <c r="E1041" s="3"/>
      <c r="F1041" s="10"/>
    </row>
    <row r="1042" spans="3:6">
      <c r="C1042" s="1"/>
      <c r="E1042" s="3"/>
      <c r="F1042" s="10"/>
    </row>
    <row r="1043" spans="3:6">
      <c r="C1043" s="1"/>
      <c r="E1043" s="3"/>
      <c r="F1043" s="10"/>
    </row>
    <row r="1044" spans="3:6">
      <c r="C1044" s="1"/>
      <c r="E1044" s="3"/>
      <c r="F1044" s="10"/>
    </row>
    <row r="1045" spans="3:6">
      <c r="C1045" s="1"/>
      <c r="E1045" s="3"/>
      <c r="F1045" s="10"/>
    </row>
    <row r="1046" spans="3:6">
      <c r="C1046" s="1"/>
      <c r="E1046" s="3"/>
      <c r="F1046" s="10"/>
    </row>
    <row r="1047" spans="3:6">
      <c r="C1047" s="1"/>
      <c r="E1047" s="3"/>
      <c r="F1047" s="10"/>
    </row>
    <row r="1048" spans="3:6">
      <c r="C1048" s="1"/>
      <c r="E1048" s="3"/>
      <c r="F1048" s="10"/>
    </row>
    <row r="1049" spans="3:6">
      <c r="C1049" s="1"/>
      <c r="E1049" s="3"/>
      <c r="F1049" s="10"/>
    </row>
    <row r="1050" spans="3:6">
      <c r="C1050" s="1"/>
      <c r="E1050" s="3"/>
      <c r="F1050" s="10"/>
    </row>
    <row r="1051" spans="3:6">
      <c r="C1051" s="1"/>
      <c r="E1051" s="3"/>
      <c r="F1051" s="10"/>
    </row>
    <row r="1052" spans="3:6">
      <c r="C1052" s="1"/>
      <c r="E1052" s="3"/>
      <c r="F1052" s="10"/>
    </row>
    <row r="1053" spans="3:6">
      <c r="C1053" s="1"/>
      <c r="E1053" s="3"/>
      <c r="F1053" s="10"/>
    </row>
    <row r="1054" spans="3:6">
      <c r="C1054" s="1"/>
      <c r="E1054" s="3"/>
      <c r="F1054" s="10"/>
    </row>
    <row r="1055" spans="3:6">
      <c r="C1055" s="1"/>
      <c r="E1055" s="3"/>
      <c r="F1055" s="10"/>
    </row>
    <row r="1056" spans="3:6">
      <c r="C1056" s="1"/>
      <c r="E1056" s="3"/>
      <c r="F1056" s="10"/>
    </row>
    <row r="1057" spans="3:6">
      <c r="C1057" s="1"/>
      <c r="E1057" s="3"/>
      <c r="F1057" s="10"/>
    </row>
    <row r="1058" spans="3:6">
      <c r="C1058" s="1"/>
      <c r="E1058" s="3"/>
      <c r="F1058" s="10"/>
    </row>
    <row r="1059" spans="3:6">
      <c r="C1059" s="1"/>
      <c r="E1059" s="3"/>
      <c r="F1059" s="10"/>
    </row>
    <row r="1060" spans="3:6">
      <c r="C1060" s="1"/>
      <c r="E1060" s="3"/>
      <c r="F1060" s="10"/>
    </row>
    <row r="1061" spans="3:6">
      <c r="C1061" s="1"/>
      <c r="E1061" s="3"/>
      <c r="F1061" s="10"/>
    </row>
    <row r="1062" spans="3:6">
      <c r="C1062" s="1"/>
      <c r="E1062" s="3"/>
      <c r="F1062" s="10"/>
    </row>
    <row r="1063" spans="3:6">
      <c r="C1063" s="1"/>
      <c r="E1063" s="3"/>
      <c r="F1063" s="10"/>
    </row>
    <row r="1064" spans="3:6">
      <c r="C1064" s="1"/>
      <c r="E1064" s="3"/>
      <c r="F1064" s="10"/>
    </row>
    <row r="1065" spans="3:6">
      <c r="C1065" s="1"/>
      <c r="E1065" s="3"/>
      <c r="F1065" s="10"/>
    </row>
    <row r="1066" spans="3:6">
      <c r="C1066" s="1"/>
      <c r="E1066" s="3"/>
      <c r="F1066" s="10"/>
    </row>
    <row r="1067" spans="3:6">
      <c r="C1067" s="1"/>
      <c r="E1067" s="3"/>
      <c r="F1067" s="10"/>
    </row>
    <row r="1068" spans="3:6">
      <c r="C1068" s="1"/>
      <c r="E1068" s="3"/>
      <c r="F1068" s="10"/>
    </row>
    <row r="1069" spans="3:6">
      <c r="C1069" s="1"/>
      <c r="E1069" s="3"/>
      <c r="F1069" s="10"/>
    </row>
    <row r="1070" spans="3:6">
      <c r="C1070" s="1"/>
      <c r="E1070" s="3"/>
      <c r="F1070" s="10"/>
    </row>
    <row r="1071" spans="3:6">
      <c r="C1071" s="1"/>
      <c r="E1071" s="3"/>
      <c r="F1071" s="10"/>
    </row>
    <row r="1072" spans="3:6">
      <c r="C1072" s="1"/>
      <c r="E1072" s="3"/>
      <c r="F1072" s="10"/>
    </row>
    <row r="1073" spans="3:6">
      <c r="C1073" s="1"/>
      <c r="E1073" s="3"/>
      <c r="F1073" s="10"/>
    </row>
    <row r="1074" spans="3:6">
      <c r="C1074" s="1"/>
      <c r="E1074" s="3"/>
      <c r="F1074" s="10"/>
    </row>
    <row r="1075" spans="3:6">
      <c r="C1075" s="1"/>
      <c r="E1075" s="3"/>
      <c r="F1075" s="10"/>
    </row>
    <row r="1076" spans="3:6">
      <c r="C1076" s="1"/>
      <c r="E1076" s="3"/>
      <c r="F1076" s="10"/>
    </row>
    <row r="1077" spans="3:6">
      <c r="C1077" s="1"/>
      <c r="E1077" s="3"/>
      <c r="F1077" s="10"/>
    </row>
    <row r="1078" spans="3:6">
      <c r="C1078" s="1"/>
      <c r="E1078" s="3"/>
      <c r="F1078" s="10"/>
    </row>
    <row r="1079" spans="3:6">
      <c r="C1079" s="1"/>
      <c r="E1079" s="3"/>
      <c r="F1079" s="10"/>
    </row>
    <row r="1080" spans="3:6">
      <c r="C1080" s="1"/>
      <c r="E1080" s="3"/>
      <c r="F1080" s="10"/>
    </row>
    <row r="1081" spans="3:6">
      <c r="C1081" s="1"/>
      <c r="E1081" s="3"/>
      <c r="F1081" s="10"/>
    </row>
    <row r="1082" spans="3:6">
      <c r="C1082" s="1"/>
      <c r="E1082" s="3"/>
      <c r="F1082" s="10"/>
    </row>
    <row r="1083" spans="3:6">
      <c r="C1083" s="1"/>
      <c r="E1083" s="3"/>
      <c r="F1083" s="10"/>
    </row>
    <row r="1084" spans="3:6">
      <c r="C1084" s="1"/>
      <c r="E1084" s="3"/>
      <c r="F1084" s="10"/>
    </row>
    <row r="1085" spans="3:6">
      <c r="C1085" s="1"/>
      <c r="E1085" s="3"/>
      <c r="F1085" s="10"/>
    </row>
    <row r="1086" spans="3:6">
      <c r="C1086" s="1"/>
      <c r="E1086" s="3"/>
      <c r="F1086" s="10"/>
    </row>
    <row r="1087" spans="3:6">
      <c r="C1087" s="1"/>
      <c r="E1087" s="3"/>
      <c r="F1087" s="10"/>
    </row>
    <row r="1088" spans="3:6">
      <c r="C1088" s="1"/>
      <c r="E1088" s="3"/>
      <c r="F1088" s="10"/>
    </row>
    <row r="1089" spans="3:6">
      <c r="C1089" s="1"/>
      <c r="E1089" s="3"/>
      <c r="F1089" s="10"/>
    </row>
    <row r="1090" spans="3:6">
      <c r="C1090" s="1"/>
      <c r="E1090" s="3"/>
      <c r="F1090" s="10"/>
    </row>
    <row r="1091" spans="3:6">
      <c r="C1091" s="1"/>
      <c r="E1091" s="3"/>
      <c r="F1091" s="10"/>
    </row>
    <row r="1092" spans="3:6">
      <c r="C1092" s="1"/>
      <c r="E1092" s="3"/>
      <c r="F1092" s="10"/>
    </row>
    <row r="1093" spans="3:6">
      <c r="C1093" s="1"/>
      <c r="E1093" s="3"/>
      <c r="F1093" s="10"/>
    </row>
    <row r="1094" spans="3:6">
      <c r="C1094" s="1"/>
      <c r="E1094" s="3"/>
      <c r="F1094" s="10"/>
    </row>
    <row r="1095" spans="3:6">
      <c r="C1095" s="1"/>
      <c r="E1095" s="3"/>
      <c r="F1095" s="10"/>
    </row>
    <row r="1096" spans="3:6">
      <c r="C1096" s="1"/>
      <c r="E1096" s="3"/>
      <c r="F1096" s="10"/>
    </row>
    <row r="1097" spans="3:6">
      <c r="C1097" s="1"/>
      <c r="E1097" s="3"/>
      <c r="F1097" s="10"/>
    </row>
    <row r="1098" spans="3:6">
      <c r="C1098" s="1"/>
      <c r="E1098" s="3"/>
      <c r="F1098" s="10"/>
    </row>
    <row r="1099" spans="3:6">
      <c r="C1099" s="1"/>
      <c r="E1099" s="3"/>
      <c r="F1099" s="10"/>
    </row>
    <row r="1100" spans="3:6">
      <c r="C1100" s="1"/>
      <c r="E1100" s="3"/>
      <c r="F1100" s="10"/>
    </row>
    <row r="1101" spans="3:6">
      <c r="C1101" s="1"/>
      <c r="E1101" s="3"/>
      <c r="F1101" s="10"/>
    </row>
    <row r="1102" spans="3:6">
      <c r="C1102" s="1"/>
      <c r="E1102" s="3"/>
      <c r="F1102" s="10"/>
    </row>
    <row r="1103" spans="3:6">
      <c r="C1103" s="1"/>
      <c r="E1103" s="3"/>
      <c r="F1103" s="10"/>
    </row>
    <row r="1104" spans="3:6">
      <c r="C1104" s="1"/>
      <c r="E1104" s="3"/>
      <c r="F1104" s="10"/>
    </row>
    <row r="1105" spans="3:6">
      <c r="C1105" s="1"/>
      <c r="E1105" s="3"/>
      <c r="F1105" s="10"/>
    </row>
    <row r="1106" spans="3:6">
      <c r="C1106" s="1"/>
      <c r="E1106" s="3"/>
      <c r="F1106" s="10"/>
    </row>
    <row r="1107" spans="3:6">
      <c r="C1107" s="1"/>
      <c r="E1107" s="3"/>
      <c r="F1107" s="10"/>
    </row>
    <row r="1108" spans="3:6">
      <c r="C1108" s="1"/>
      <c r="E1108" s="3"/>
      <c r="F1108" s="10"/>
    </row>
    <row r="1109" spans="3:6">
      <c r="C1109" s="1"/>
      <c r="E1109" s="3"/>
      <c r="F1109" s="10"/>
    </row>
    <row r="1110" spans="3:6">
      <c r="C1110" s="1"/>
      <c r="E1110" s="3"/>
      <c r="F1110" s="10"/>
    </row>
    <row r="1111" spans="3:6">
      <c r="C1111" s="1"/>
      <c r="E1111" s="3"/>
      <c r="F1111" s="10"/>
    </row>
    <row r="1112" spans="3:6">
      <c r="C1112" s="1"/>
      <c r="E1112" s="3"/>
      <c r="F1112" s="10"/>
    </row>
    <row r="1113" spans="3:6">
      <c r="C1113" s="1"/>
      <c r="E1113" s="3"/>
      <c r="F1113" s="10"/>
    </row>
    <row r="1114" spans="3:6">
      <c r="C1114" s="1"/>
      <c r="E1114" s="3"/>
      <c r="F1114" s="10"/>
    </row>
    <row r="1115" spans="3:6">
      <c r="C1115" s="1"/>
      <c r="E1115" s="3"/>
      <c r="F1115" s="10"/>
    </row>
    <row r="1116" spans="3:6">
      <c r="C1116" s="1"/>
      <c r="E1116" s="3"/>
      <c r="F1116" s="10"/>
    </row>
    <row r="1117" spans="3:6">
      <c r="C1117" s="1"/>
      <c r="E1117" s="3"/>
      <c r="F1117" s="10"/>
    </row>
    <row r="1118" spans="3:6">
      <c r="C1118" s="1"/>
      <c r="E1118" s="3"/>
      <c r="F1118" s="10"/>
    </row>
    <row r="1119" spans="3:6">
      <c r="C1119" s="1"/>
      <c r="E1119" s="3"/>
      <c r="F1119" s="10"/>
    </row>
    <row r="1120" spans="3:6">
      <c r="C1120" s="1"/>
      <c r="E1120" s="3"/>
      <c r="F1120" s="10"/>
    </row>
    <row r="1121" spans="3:6">
      <c r="C1121" s="1"/>
      <c r="E1121" s="3"/>
      <c r="F1121" s="10"/>
    </row>
    <row r="1122" spans="3:6">
      <c r="C1122" s="1"/>
      <c r="E1122" s="3"/>
      <c r="F1122" s="10"/>
    </row>
    <row r="1123" spans="3:6">
      <c r="C1123" s="1"/>
      <c r="E1123" s="3"/>
      <c r="F1123" s="10"/>
    </row>
    <row r="1124" spans="3:6">
      <c r="C1124" s="1"/>
      <c r="E1124" s="3"/>
      <c r="F1124" s="10"/>
    </row>
    <row r="1125" spans="3:6">
      <c r="C1125" s="1"/>
      <c r="E1125" s="3"/>
      <c r="F1125" s="10"/>
    </row>
    <row r="1126" spans="3:6">
      <c r="C1126" s="1"/>
      <c r="E1126" s="3"/>
      <c r="F1126" s="10"/>
    </row>
    <row r="1127" spans="3:6">
      <c r="C1127" s="1"/>
      <c r="E1127" s="3"/>
      <c r="F1127" s="10"/>
    </row>
    <row r="1128" spans="3:6">
      <c r="C1128" s="1"/>
      <c r="E1128" s="3"/>
      <c r="F1128" s="10"/>
    </row>
    <row r="1129" spans="3:6">
      <c r="C1129" s="1"/>
      <c r="E1129" s="3"/>
      <c r="F1129" s="10"/>
    </row>
    <row r="1130" spans="3:6">
      <c r="C1130" s="1"/>
      <c r="E1130" s="3"/>
      <c r="F1130" s="10"/>
    </row>
    <row r="1131" spans="3:6">
      <c r="C1131" s="1"/>
      <c r="E1131" s="3"/>
      <c r="F1131" s="10"/>
    </row>
    <row r="1132" spans="3:6">
      <c r="C1132" s="1"/>
      <c r="E1132" s="3"/>
      <c r="F1132" s="10"/>
    </row>
    <row r="1133" spans="3:6">
      <c r="C1133" s="1"/>
      <c r="E1133" s="3"/>
      <c r="F1133" s="10"/>
    </row>
    <row r="1134" spans="3:6">
      <c r="C1134" s="1"/>
      <c r="E1134" s="3"/>
      <c r="F1134" s="10"/>
    </row>
    <row r="1135" spans="3:6">
      <c r="C1135" s="1"/>
      <c r="E1135" s="3"/>
      <c r="F1135" s="10"/>
    </row>
    <row r="1136" spans="3:6">
      <c r="C1136" s="1"/>
      <c r="E1136" s="3"/>
      <c r="F1136" s="10"/>
    </row>
    <row r="1137" spans="3:6">
      <c r="C1137" s="1"/>
      <c r="E1137" s="3"/>
      <c r="F1137" s="10"/>
    </row>
    <row r="1138" spans="3:6">
      <c r="C1138" s="1"/>
      <c r="E1138" s="3"/>
      <c r="F1138" s="10"/>
    </row>
    <row r="1139" spans="3:6">
      <c r="C1139" s="1"/>
      <c r="E1139" s="3"/>
      <c r="F1139" s="10"/>
    </row>
    <row r="1140" spans="3:6">
      <c r="C1140" s="1"/>
      <c r="E1140" s="3"/>
      <c r="F1140" s="10"/>
    </row>
    <row r="1141" spans="3:6">
      <c r="C1141" s="1"/>
      <c r="E1141" s="3"/>
      <c r="F1141" s="10"/>
    </row>
    <row r="1142" spans="3:6">
      <c r="C1142" s="1"/>
      <c r="E1142" s="3"/>
      <c r="F1142" s="10"/>
    </row>
    <row r="1143" spans="3:6">
      <c r="C1143" s="1"/>
      <c r="E1143" s="3"/>
      <c r="F1143" s="10"/>
    </row>
    <row r="1144" spans="3:6">
      <c r="C1144" s="1"/>
      <c r="E1144" s="3"/>
      <c r="F1144" s="10"/>
    </row>
    <row r="1145" spans="3:6">
      <c r="C1145" s="1"/>
      <c r="E1145" s="3"/>
      <c r="F1145" s="10"/>
    </row>
    <row r="1146" spans="3:6">
      <c r="C1146" s="1"/>
      <c r="E1146" s="3"/>
      <c r="F1146" s="10"/>
    </row>
    <row r="1147" spans="3:6">
      <c r="C1147" s="1"/>
      <c r="E1147" s="3"/>
      <c r="F1147" s="10"/>
    </row>
    <row r="1148" spans="3:6">
      <c r="C1148" s="1"/>
      <c r="E1148" s="3"/>
      <c r="F1148" s="10"/>
    </row>
    <row r="1149" spans="3:6">
      <c r="C1149" s="1"/>
      <c r="E1149" s="3"/>
      <c r="F1149" s="10"/>
    </row>
    <row r="1150" spans="3:6">
      <c r="C1150" s="1"/>
      <c r="E1150" s="3"/>
      <c r="F1150" s="10"/>
    </row>
    <row r="1151" spans="3:6">
      <c r="C1151" s="1"/>
      <c r="E1151" s="3"/>
      <c r="F1151" s="10"/>
    </row>
    <row r="1152" spans="3:6">
      <c r="C1152" s="1"/>
      <c r="E1152" s="3"/>
      <c r="F1152" s="10"/>
    </row>
    <row r="1153" spans="3:6">
      <c r="C1153" s="1"/>
      <c r="E1153" s="3"/>
      <c r="F1153" s="10"/>
    </row>
    <row r="1154" spans="3:6">
      <c r="C1154" s="1"/>
      <c r="E1154" s="3"/>
      <c r="F1154" s="10"/>
    </row>
    <row r="1155" spans="3:6">
      <c r="C1155" s="1"/>
      <c r="E1155" s="3"/>
      <c r="F1155" s="10"/>
    </row>
    <row r="1156" spans="3:6">
      <c r="C1156" s="1"/>
      <c r="E1156" s="3"/>
      <c r="F1156" s="10"/>
    </row>
    <row r="1157" spans="3:6">
      <c r="C1157" s="1"/>
      <c r="E1157" s="3"/>
      <c r="F1157" s="10"/>
    </row>
    <row r="1158" spans="3:6">
      <c r="C1158" s="1"/>
      <c r="E1158" s="3"/>
      <c r="F1158" s="10"/>
    </row>
    <row r="1159" spans="3:6">
      <c r="C1159" s="1"/>
      <c r="E1159" s="3"/>
      <c r="F1159" s="10"/>
    </row>
    <row r="1160" spans="3:6">
      <c r="C1160" s="1"/>
      <c r="E1160" s="3"/>
      <c r="F1160" s="10"/>
    </row>
    <row r="1161" spans="3:6">
      <c r="C1161" s="1"/>
      <c r="E1161" s="3"/>
      <c r="F1161" s="10"/>
    </row>
    <row r="1162" spans="3:6">
      <c r="C1162" s="1"/>
      <c r="E1162" s="3"/>
      <c r="F1162" s="10"/>
    </row>
    <row r="1163" spans="3:6">
      <c r="C1163" s="1"/>
      <c r="E1163" s="3"/>
      <c r="F1163" s="10"/>
    </row>
    <row r="1164" spans="3:6">
      <c r="C1164" s="1"/>
      <c r="E1164" s="3"/>
      <c r="F1164" s="10"/>
    </row>
    <row r="1165" spans="3:6">
      <c r="C1165" s="1"/>
      <c r="E1165" s="3"/>
      <c r="F1165" s="10"/>
    </row>
    <row r="1166" spans="3:6">
      <c r="C1166" s="1"/>
      <c r="E1166" s="3"/>
      <c r="F1166" s="10"/>
    </row>
    <row r="1167" spans="3:6">
      <c r="C1167" s="1"/>
      <c r="E1167" s="3"/>
      <c r="F1167" s="10"/>
    </row>
    <row r="1168" spans="3:6">
      <c r="C1168" s="1"/>
      <c r="E1168" s="3"/>
      <c r="F1168" s="10"/>
    </row>
    <row r="1169" spans="3:6">
      <c r="C1169" s="1"/>
      <c r="E1169" s="3"/>
      <c r="F1169" s="10"/>
    </row>
    <row r="1170" spans="3:6">
      <c r="C1170" s="1"/>
      <c r="E1170" s="3"/>
      <c r="F1170" s="10"/>
    </row>
    <row r="1171" spans="3:6">
      <c r="C1171" s="1"/>
      <c r="E1171" s="3"/>
      <c r="F1171" s="10"/>
    </row>
    <row r="1172" spans="3:6">
      <c r="C1172" s="1"/>
      <c r="E1172" s="3"/>
      <c r="F1172" s="10"/>
    </row>
    <row r="1173" spans="3:6">
      <c r="C1173" s="1"/>
      <c r="E1173" s="3"/>
      <c r="F1173" s="10"/>
    </row>
    <row r="1174" spans="3:6">
      <c r="C1174" s="1"/>
      <c r="E1174" s="3"/>
      <c r="F1174" s="10"/>
    </row>
    <row r="1175" spans="3:6">
      <c r="C1175" s="1"/>
      <c r="E1175" s="3"/>
      <c r="F1175" s="10"/>
    </row>
    <row r="1176" spans="3:6">
      <c r="C1176" s="1"/>
      <c r="E1176" s="3"/>
      <c r="F1176" s="10"/>
    </row>
    <row r="1177" spans="3:6">
      <c r="C1177" s="1"/>
      <c r="E1177" s="3"/>
      <c r="F1177" s="10"/>
    </row>
    <row r="1178" spans="3:6">
      <c r="C1178" s="1"/>
      <c r="E1178" s="3"/>
      <c r="F1178" s="10"/>
    </row>
    <row r="1179" spans="3:6">
      <c r="C1179" s="1"/>
      <c r="E1179" s="3"/>
      <c r="F1179" s="10"/>
    </row>
    <row r="1180" spans="3:6">
      <c r="C1180" s="1"/>
      <c r="E1180" s="3"/>
      <c r="F1180" s="10"/>
    </row>
    <row r="1181" spans="3:6">
      <c r="C1181" s="1"/>
      <c r="E1181" s="3"/>
      <c r="F1181" s="10"/>
    </row>
    <row r="1182" spans="3:6">
      <c r="C1182" s="1"/>
      <c r="E1182" s="3"/>
      <c r="F1182" s="10"/>
    </row>
    <row r="1183" spans="3:6">
      <c r="C1183" s="1"/>
      <c r="E1183" s="3"/>
      <c r="F1183" s="10"/>
    </row>
    <row r="1184" spans="3:6">
      <c r="C1184" s="1"/>
      <c r="E1184" s="3"/>
      <c r="F1184" s="10"/>
    </row>
    <row r="1185" spans="3:6">
      <c r="C1185" s="1"/>
      <c r="E1185" s="3"/>
      <c r="F1185" s="10"/>
    </row>
    <row r="1186" spans="3:6">
      <c r="C1186" s="1"/>
      <c r="E1186" s="3"/>
      <c r="F1186" s="10"/>
    </row>
    <row r="1187" spans="3:6">
      <c r="C1187" s="1"/>
      <c r="E1187" s="3"/>
      <c r="F1187" s="10"/>
    </row>
    <row r="1188" spans="3:6">
      <c r="C1188" s="1"/>
      <c r="E1188" s="3"/>
      <c r="F1188" s="10"/>
    </row>
    <row r="1189" spans="3:6">
      <c r="C1189" s="1"/>
      <c r="E1189" s="3"/>
      <c r="F1189" s="10"/>
    </row>
    <row r="1190" spans="3:6">
      <c r="C1190" s="1"/>
      <c r="E1190" s="3"/>
      <c r="F1190" s="10"/>
    </row>
    <row r="1191" spans="3:6">
      <c r="C1191" s="1"/>
      <c r="E1191" s="3"/>
      <c r="F1191" s="10"/>
    </row>
    <row r="1192" spans="3:6">
      <c r="C1192" s="1"/>
      <c r="E1192" s="3"/>
      <c r="F1192" s="10"/>
    </row>
    <row r="1193" spans="3:6">
      <c r="C1193" s="1"/>
      <c r="E1193" s="3"/>
      <c r="F1193" s="10"/>
    </row>
    <row r="1194" spans="3:6">
      <c r="C1194" s="1"/>
      <c r="E1194" s="3"/>
      <c r="F1194" s="10"/>
    </row>
    <row r="1195" spans="3:6">
      <c r="C1195" s="1"/>
      <c r="E1195" s="3"/>
      <c r="F1195" s="10"/>
    </row>
    <row r="1196" spans="3:6">
      <c r="C1196" s="1"/>
      <c r="E1196" s="3"/>
      <c r="F1196" s="10"/>
    </row>
    <row r="1197" spans="3:6">
      <c r="C1197" s="1"/>
      <c r="E1197" s="3"/>
      <c r="F1197" s="10"/>
    </row>
    <row r="1198" spans="3:6">
      <c r="C1198" s="1"/>
      <c r="E1198" s="3"/>
      <c r="F1198" s="10"/>
    </row>
    <row r="1199" spans="3:6">
      <c r="C1199" s="1"/>
      <c r="E1199" s="3"/>
      <c r="F1199" s="10"/>
    </row>
    <row r="1200" spans="3:6">
      <c r="C1200" s="1"/>
      <c r="E1200" s="3"/>
      <c r="F1200" s="10"/>
    </row>
    <row r="1201" spans="3:6">
      <c r="C1201" s="1"/>
      <c r="E1201" s="3"/>
      <c r="F1201" s="10"/>
    </row>
    <row r="1202" spans="3:6">
      <c r="C1202" s="1"/>
      <c r="E1202" s="3"/>
      <c r="F1202" s="10"/>
    </row>
    <row r="1203" spans="3:6">
      <c r="C1203" s="1"/>
      <c r="E1203" s="3"/>
      <c r="F1203" s="10"/>
    </row>
    <row r="1204" spans="3:6">
      <c r="C1204" s="1"/>
      <c r="E1204" s="3"/>
      <c r="F1204" s="10"/>
    </row>
    <row r="1205" spans="3:6">
      <c r="C1205" s="1"/>
      <c r="E1205" s="3"/>
      <c r="F1205" s="10"/>
    </row>
    <row r="1206" spans="3:6">
      <c r="C1206" s="1"/>
      <c r="E1206" s="3"/>
      <c r="F1206" s="10"/>
    </row>
    <row r="1207" spans="3:6">
      <c r="C1207" s="1"/>
      <c r="E1207" s="3"/>
      <c r="F1207" s="10"/>
    </row>
    <row r="1208" spans="3:6">
      <c r="C1208" s="1"/>
      <c r="E1208" s="3"/>
      <c r="F1208" s="10"/>
    </row>
    <row r="1209" spans="3:6">
      <c r="C1209" s="1"/>
      <c r="E1209" s="3"/>
      <c r="F1209" s="10"/>
    </row>
    <row r="1210" spans="3:6">
      <c r="C1210" s="1"/>
      <c r="E1210" s="3"/>
      <c r="F1210" s="10"/>
    </row>
    <row r="1211" spans="3:6">
      <c r="C1211" s="1"/>
      <c r="E1211" s="3"/>
      <c r="F1211" s="10"/>
    </row>
    <row r="1212" spans="3:6">
      <c r="C1212" s="1"/>
      <c r="E1212" s="3"/>
      <c r="F1212" s="10"/>
    </row>
    <row r="1213" spans="3:6">
      <c r="C1213" s="1"/>
      <c r="E1213" s="3"/>
      <c r="F1213" s="10"/>
    </row>
    <row r="1214" spans="3:6">
      <c r="C1214" s="1"/>
      <c r="E1214" s="3"/>
      <c r="F1214" s="10"/>
    </row>
    <row r="1215" spans="3:6">
      <c r="C1215" s="1"/>
      <c r="E1215" s="3"/>
      <c r="F1215" s="10"/>
    </row>
    <row r="1216" spans="3:6">
      <c r="C1216" s="1"/>
      <c r="E1216" s="3"/>
      <c r="F1216" s="10"/>
    </row>
    <row r="1217" spans="3:6">
      <c r="C1217" s="1"/>
      <c r="E1217" s="3"/>
      <c r="F1217" s="10"/>
    </row>
    <row r="1218" spans="3:6">
      <c r="C1218" s="1"/>
      <c r="E1218" s="3"/>
      <c r="F1218" s="10"/>
    </row>
    <row r="1219" spans="3:6">
      <c r="C1219" s="1"/>
      <c r="E1219" s="3"/>
      <c r="F1219" s="10"/>
    </row>
    <row r="1220" spans="3:6">
      <c r="C1220" s="1"/>
      <c r="E1220" s="3"/>
      <c r="F1220" s="10"/>
    </row>
    <row r="1221" spans="3:6">
      <c r="C1221" s="1"/>
      <c r="E1221" s="3"/>
      <c r="F1221" s="10"/>
    </row>
    <row r="1222" spans="3:6">
      <c r="C1222" s="1"/>
      <c r="E1222" s="3"/>
      <c r="F1222" s="10"/>
    </row>
    <row r="1223" spans="3:6">
      <c r="C1223" s="1"/>
      <c r="E1223" s="3"/>
      <c r="F1223" s="10"/>
    </row>
    <row r="1224" spans="3:6">
      <c r="C1224" s="1"/>
      <c r="E1224" s="3"/>
      <c r="F1224" s="10"/>
    </row>
    <row r="1225" spans="3:6">
      <c r="C1225" s="1"/>
      <c r="E1225" s="3"/>
      <c r="F1225" s="10"/>
    </row>
    <row r="1226" spans="3:6">
      <c r="C1226" s="1"/>
      <c r="E1226" s="3"/>
      <c r="F1226" s="10"/>
    </row>
    <row r="1227" spans="3:6">
      <c r="C1227" s="1"/>
      <c r="E1227" s="3"/>
      <c r="F1227" s="10"/>
    </row>
    <row r="1228" spans="3:6">
      <c r="C1228" s="1"/>
      <c r="E1228" s="3"/>
      <c r="F1228" s="10"/>
    </row>
    <row r="1229" spans="3:6">
      <c r="C1229" s="1"/>
      <c r="E1229" s="3"/>
      <c r="F1229" s="10"/>
    </row>
    <row r="1230" spans="3:6">
      <c r="C1230" s="1"/>
      <c r="E1230" s="3"/>
      <c r="F1230" s="10"/>
    </row>
    <row r="1231" spans="3:6">
      <c r="C1231" s="1"/>
      <c r="E1231" s="3"/>
      <c r="F1231" s="10"/>
    </row>
    <row r="1232" spans="3:6">
      <c r="C1232" s="1"/>
      <c r="E1232" s="3"/>
      <c r="F1232" s="10"/>
    </row>
    <row r="1233" spans="3:6">
      <c r="C1233" s="1"/>
      <c r="E1233" s="3"/>
      <c r="F1233" s="10"/>
    </row>
    <row r="1234" spans="3:6">
      <c r="C1234" s="1"/>
      <c r="E1234" s="3"/>
      <c r="F1234" s="10"/>
    </row>
    <row r="1235" spans="3:6">
      <c r="C1235" s="1"/>
      <c r="E1235" s="3"/>
      <c r="F1235" s="10"/>
    </row>
    <row r="1236" spans="3:6">
      <c r="C1236" s="1"/>
      <c r="E1236" s="3"/>
      <c r="F1236" s="10"/>
    </row>
    <row r="1237" spans="3:6">
      <c r="C1237" s="1"/>
      <c r="E1237" s="3"/>
      <c r="F1237" s="10"/>
    </row>
    <row r="1238" spans="3:6">
      <c r="C1238" s="1"/>
      <c r="E1238" s="3"/>
      <c r="F1238" s="10"/>
    </row>
    <row r="1239" spans="3:6">
      <c r="C1239" s="1"/>
      <c r="E1239" s="3"/>
      <c r="F1239" s="10"/>
    </row>
    <row r="1240" spans="3:6">
      <c r="C1240" s="1"/>
      <c r="E1240" s="3"/>
      <c r="F1240" s="10"/>
    </row>
    <row r="1241" spans="3:6">
      <c r="C1241" s="1"/>
      <c r="E1241" s="3"/>
      <c r="F1241" s="10"/>
    </row>
    <row r="1242" spans="3:6">
      <c r="C1242" s="1"/>
      <c r="E1242" s="3"/>
      <c r="F1242" s="10"/>
    </row>
    <row r="1243" spans="3:6">
      <c r="C1243" s="1"/>
      <c r="E1243" s="3"/>
      <c r="F1243" s="10"/>
    </row>
    <row r="1244" spans="3:6">
      <c r="C1244" s="1"/>
      <c r="E1244" s="3"/>
      <c r="F1244" s="10"/>
    </row>
    <row r="1245" spans="3:6">
      <c r="C1245" s="1"/>
      <c r="E1245" s="3"/>
      <c r="F1245" s="10"/>
    </row>
    <row r="1246" spans="3:6">
      <c r="C1246" s="1"/>
      <c r="E1246" s="3"/>
      <c r="F1246" s="10"/>
    </row>
    <row r="1247" spans="3:6">
      <c r="C1247" s="1"/>
      <c r="E1247" s="3"/>
      <c r="F1247" s="10"/>
    </row>
    <row r="1248" spans="3:6">
      <c r="C1248" s="1"/>
      <c r="E1248" s="3"/>
      <c r="F1248" s="10"/>
    </row>
    <row r="1249" spans="3:6">
      <c r="C1249" s="1"/>
      <c r="E1249" s="3"/>
      <c r="F1249" s="10"/>
    </row>
    <row r="1250" spans="3:6">
      <c r="C1250" s="1"/>
      <c r="E1250" s="3"/>
      <c r="F1250" s="10"/>
    </row>
    <row r="1251" spans="3:6">
      <c r="C1251" s="1"/>
      <c r="E1251" s="3"/>
      <c r="F1251" s="10"/>
    </row>
    <row r="1252" spans="3:6">
      <c r="C1252" s="1"/>
      <c r="E1252" s="3"/>
      <c r="F1252" s="10"/>
    </row>
    <row r="1253" spans="3:6">
      <c r="C1253" s="1"/>
      <c r="E1253" s="3"/>
      <c r="F1253" s="10"/>
    </row>
    <row r="1254" spans="3:6">
      <c r="C1254" s="1"/>
      <c r="E1254" s="3"/>
      <c r="F1254" s="10"/>
    </row>
    <row r="1255" spans="3:6">
      <c r="C1255" s="1"/>
      <c r="E1255" s="3"/>
      <c r="F1255" s="10"/>
    </row>
    <row r="1256" spans="3:6">
      <c r="C1256" s="1"/>
      <c r="E1256" s="3"/>
      <c r="F1256" s="10"/>
    </row>
    <row r="1257" spans="3:6">
      <c r="C1257" s="1"/>
      <c r="E1257" s="3"/>
      <c r="F1257" s="10"/>
    </row>
    <row r="1258" spans="3:6">
      <c r="C1258" s="1"/>
      <c r="E1258" s="3"/>
      <c r="F1258" s="10"/>
    </row>
    <row r="1259" spans="3:6">
      <c r="C1259" s="1"/>
      <c r="E1259" s="3"/>
      <c r="F1259" s="10"/>
    </row>
    <row r="1260" spans="3:6">
      <c r="C1260" s="1"/>
      <c r="E1260" s="3"/>
      <c r="F1260" s="10"/>
    </row>
    <row r="1261" spans="3:6">
      <c r="C1261" s="1"/>
      <c r="E1261" s="3"/>
      <c r="F1261" s="10"/>
    </row>
    <row r="1262" spans="3:6">
      <c r="C1262" s="1"/>
      <c r="E1262" s="3"/>
      <c r="F1262" s="10"/>
    </row>
    <row r="1263" spans="3:6">
      <c r="C1263" s="1"/>
      <c r="E1263" s="3"/>
      <c r="F1263" s="10"/>
    </row>
    <row r="1264" spans="3:6">
      <c r="C1264" s="1"/>
      <c r="E1264" s="3"/>
      <c r="F1264" s="10"/>
    </row>
    <row r="1265" spans="3:6">
      <c r="C1265" s="1"/>
      <c r="E1265" s="3"/>
      <c r="F1265" s="10"/>
    </row>
    <row r="1266" spans="3:6">
      <c r="C1266" s="1"/>
      <c r="E1266" s="3"/>
      <c r="F1266" s="10"/>
    </row>
    <row r="1267" spans="3:6">
      <c r="C1267" s="1"/>
      <c r="E1267" s="3"/>
      <c r="F1267" s="10"/>
    </row>
    <row r="1268" spans="3:6">
      <c r="C1268" s="1"/>
      <c r="E1268" s="3"/>
      <c r="F1268" s="10"/>
    </row>
    <row r="1269" spans="3:6">
      <c r="C1269" s="1"/>
      <c r="E1269" s="3"/>
      <c r="F1269" s="10"/>
    </row>
    <row r="1270" spans="3:6">
      <c r="C1270" s="1"/>
      <c r="E1270" s="3"/>
      <c r="F1270" s="10"/>
    </row>
    <row r="1271" spans="3:6">
      <c r="C1271" s="1"/>
      <c r="E1271" s="3"/>
      <c r="F1271" s="10"/>
    </row>
    <row r="1272" spans="3:6">
      <c r="C1272" s="1"/>
      <c r="E1272" s="3"/>
      <c r="F1272" s="10"/>
    </row>
    <row r="1273" spans="3:6">
      <c r="C1273" s="1"/>
      <c r="E1273" s="3"/>
      <c r="F1273" s="10"/>
    </row>
    <row r="1274" spans="3:6">
      <c r="C1274" s="1"/>
      <c r="E1274" s="3"/>
      <c r="F1274" s="10"/>
    </row>
    <row r="1275" spans="3:6">
      <c r="C1275" s="1"/>
      <c r="E1275" s="3"/>
      <c r="F1275" s="10"/>
    </row>
    <row r="1276" spans="3:6">
      <c r="C1276" s="1"/>
      <c r="E1276" s="3"/>
      <c r="F1276" s="10"/>
    </row>
    <row r="1277" spans="3:6">
      <c r="C1277" s="1"/>
      <c r="E1277" s="3"/>
      <c r="F1277" s="10"/>
    </row>
    <row r="1278" spans="3:6">
      <c r="C1278" s="1"/>
      <c r="E1278" s="3"/>
      <c r="F1278" s="10"/>
    </row>
    <row r="1279" spans="3:6">
      <c r="C1279" s="1"/>
      <c r="E1279" s="3"/>
      <c r="F1279" s="10"/>
    </row>
    <row r="1280" spans="3:6">
      <c r="C1280" s="1"/>
      <c r="E1280" s="3"/>
      <c r="F1280" s="10"/>
    </row>
    <row r="1281" spans="3:6">
      <c r="C1281" s="1"/>
      <c r="E1281" s="3"/>
      <c r="F1281" s="10"/>
    </row>
    <row r="1282" spans="3:6">
      <c r="C1282" s="1"/>
      <c r="E1282" s="3"/>
      <c r="F1282" s="10"/>
    </row>
    <row r="1283" spans="3:6">
      <c r="C1283" s="1"/>
      <c r="E1283" s="3"/>
      <c r="F1283" s="10"/>
    </row>
    <row r="1284" spans="3:6">
      <c r="C1284" s="1"/>
      <c r="E1284" s="3"/>
      <c r="F1284" s="10"/>
    </row>
    <row r="1285" spans="3:6">
      <c r="C1285" s="1"/>
      <c r="E1285" s="3"/>
      <c r="F1285" s="10"/>
    </row>
    <row r="1286" spans="3:6">
      <c r="C1286" s="1"/>
      <c r="E1286" s="3"/>
      <c r="F1286" s="10"/>
    </row>
    <row r="1287" spans="3:6">
      <c r="C1287" s="1"/>
      <c r="E1287" s="3"/>
      <c r="F1287" s="10"/>
    </row>
    <row r="1288" spans="3:6">
      <c r="C1288" s="1"/>
      <c r="E1288" s="3"/>
      <c r="F1288" s="10"/>
    </row>
    <row r="1289" spans="3:6">
      <c r="C1289" s="1"/>
      <c r="E1289" s="3"/>
      <c r="F1289" s="10"/>
    </row>
    <row r="1290" spans="3:6">
      <c r="C1290" s="1"/>
      <c r="E1290" s="3"/>
      <c r="F1290" s="10"/>
    </row>
    <row r="1291" spans="3:6">
      <c r="C1291" s="1"/>
      <c r="E1291" s="3"/>
      <c r="F1291" s="10"/>
    </row>
    <row r="1292" spans="3:6">
      <c r="C1292" s="1"/>
      <c r="E1292" s="3"/>
      <c r="F1292" s="10"/>
    </row>
    <row r="1293" spans="3:6">
      <c r="C1293" s="1"/>
      <c r="E1293" s="3"/>
      <c r="F1293" s="10"/>
    </row>
    <row r="1294" spans="3:6">
      <c r="C1294" s="1"/>
      <c r="E1294" s="3"/>
      <c r="F1294" s="10"/>
    </row>
    <row r="1295" spans="3:6">
      <c r="C1295" s="1"/>
      <c r="E1295" s="3"/>
      <c r="F1295" s="10"/>
    </row>
    <row r="1296" spans="3:6">
      <c r="C1296" s="1"/>
      <c r="E1296" s="3"/>
      <c r="F1296" s="10"/>
    </row>
    <row r="1297" spans="3:6">
      <c r="C1297" s="1"/>
      <c r="E1297" s="3"/>
      <c r="F1297" s="10"/>
    </row>
    <row r="1298" spans="3:6">
      <c r="C1298" s="1"/>
      <c r="E1298" s="3"/>
      <c r="F1298" s="10"/>
    </row>
    <row r="1299" spans="3:6">
      <c r="C1299" s="1"/>
      <c r="E1299" s="3"/>
      <c r="F1299" s="10"/>
    </row>
    <row r="1300" spans="3:6">
      <c r="C1300" s="1"/>
      <c r="E1300" s="3"/>
      <c r="F1300" s="10"/>
    </row>
    <row r="1301" spans="3:6">
      <c r="C1301" s="1"/>
      <c r="E1301" s="3"/>
      <c r="F1301" s="10"/>
    </row>
    <row r="1302" spans="3:6">
      <c r="C1302" s="1"/>
      <c r="E1302" s="3"/>
      <c r="F1302" s="10"/>
    </row>
    <row r="1303" spans="3:6">
      <c r="C1303" s="1"/>
      <c r="E1303" s="3"/>
      <c r="F1303" s="10"/>
    </row>
    <row r="1304" spans="3:6">
      <c r="C1304" s="1"/>
      <c r="E1304" s="3"/>
      <c r="F1304" s="10"/>
    </row>
    <row r="1305" spans="3:6">
      <c r="C1305" s="1"/>
      <c r="E1305" s="3"/>
      <c r="F1305" s="10"/>
    </row>
    <row r="1306" spans="3:6">
      <c r="C1306" s="1"/>
      <c r="E1306" s="3"/>
      <c r="F1306" s="10"/>
    </row>
    <row r="1307" spans="3:6">
      <c r="C1307" s="1"/>
      <c r="E1307" s="3"/>
      <c r="F1307" s="10"/>
    </row>
    <row r="1308" spans="3:6">
      <c r="C1308" s="1"/>
      <c r="E1308" s="3"/>
      <c r="F1308" s="10"/>
    </row>
    <row r="1309" spans="3:6">
      <c r="C1309" s="1"/>
      <c r="E1309" s="3"/>
      <c r="F1309" s="10"/>
    </row>
    <row r="1310" spans="3:6">
      <c r="C1310" s="1"/>
      <c r="E1310" s="3"/>
      <c r="F1310" s="10"/>
    </row>
    <row r="1311" spans="3:6">
      <c r="C1311" s="1"/>
      <c r="E1311" s="3"/>
      <c r="F1311" s="10"/>
    </row>
    <row r="1312" spans="3:6">
      <c r="C1312" s="1"/>
      <c r="E1312" s="3"/>
      <c r="F1312" s="10"/>
    </row>
    <row r="1313" spans="3:6">
      <c r="C1313" s="1"/>
      <c r="E1313" s="3"/>
      <c r="F1313" s="10"/>
    </row>
    <row r="1314" spans="3:6">
      <c r="C1314" s="1"/>
      <c r="E1314" s="3"/>
      <c r="F1314" s="10"/>
    </row>
    <row r="1315" spans="3:6">
      <c r="C1315" s="1"/>
      <c r="E1315" s="3"/>
      <c r="F1315" s="10"/>
    </row>
    <row r="1316" spans="3:6">
      <c r="C1316" s="1"/>
      <c r="E1316" s="3"/>
      <c r="F1316" s="10"/>
    </row>
    <row r="1317" spans="3:6">
      <c r="C1317" s="1"/>
      <c r="E1317" s="3"/>
      <c r="F1317" s="10"/>
    </row>
    <row r="1318" spans="3:6">
      <c r="C1318" s="1"/>
      <c r="E1318" s="3"/>
      <c r="F1318" s="10"/>
    </row>
    <row r="1319" spans="3:6">
      <c r="C1319" s="1"/>
      <c r="E1319" s="3"/>
      <c r="F1319" s="10"/>
    </row>
    <row r="1320" spans="3:6">
      <c r="C1320" s="1"/>
      <c r="E1320" s="3"/>
      <c r="F1320" s="10"/>
    </row>
    <row r="1321" spans="3:6">
      <c r="C1321" s="1"/>
      <c r="E1321" s="3"/>
      <c r="F1321" s="10"/>
    </row>
    <row r="1322" spans="3:6">
      <c r="C1322" s="1"/>
      <c r="E1322" s="3"/>
      <c r="F1322" s="10"/>
    </row>
    <row r="1323" spans="3:6">
      <c r="C1323" s="1"/>
      <c r="E1323" s="3"/>
      <c r="F1323" s="10"/>
    </row>
    <row r="1324" spans="3:6">
      <c r="C1324" s="1"/>
      <c r="E1324" s="3"/>
      <c r="F1324" s="10"/>
    </row>
    <row r="1325" spans="3:6">
      <c r="C1325" s="1"/>
      <c r="E1325" s="3"/>
      <c r="F1325" s="10"/>
    </row>
    <row r="1326" spans="3:6">
      <c r="C1326" s="1"/>
      <c r="E1326" s="3"/>
      <c r="F1326" s="10"/>
    </row>
    <row r="1327" spans="3:6">
      <c r="C1327" s="1"/>
      <c r="E1327" s="3"/>
      <c r="F1327" s="10"/>
    </row>
    <row r="1328" spans="3:6">
      <c r="C1328" s="1"/>
      <c r="E1328" s="3"/>
      <c r="F1328" s="10"/>
    </row>
    <row r="1329" spans="3:6">
      <c r="C1329" s="1"/>
      <c r="E1329" s="3"/>
      <c r="F1329" s="10"/>
    </row>
    <row r="1330" spans="3:6">
      <c r="C1330" s="1"/>
      <c r="E1330" s="3"/>
      <c r="F1330" s="10"/>
    </row>
    <row r="1331" spans="3:6">
      <c r="C1331" s="1"/>
      <c r="E1331" s="3"/>
      <c r="F1331" s="10"/>
    </row>
    <row r="1332" spans="3:6">
      <c r="C1332" s="1"/>
      <c r="E1332" s="3"/>
      <c r="F1332" s="10"/>
    </row>
    <row r="1333" spans="3:6">
      <c r="C1333" s="1"/>
      <c r="E1333" s="3"/>
      <c r="F1333" s="10"/>
    </row>
    <row r="1334" spans="3:6">
      <c r="C1334" s="1"/>
      <c r="E1334" s="3"/>
      <c r="F1334" s="10"/>
    </row>
    <row r="1335" spans="3:6">
      <c r="C1335" s="1"/>
      <c r="E1335" s="3"/>
      <c r="F1335" s="10"/>
    </row>
    <row r="1336" spans="3:6">
      <c r="C1336" s="1"/>
      <c r="E1336" s="3"/>
      <c r="F1336" s="10"/>
    </row>
    <row r="1337" spans="3:6">
      <c r="C1337" s="1"/>
      <c r="E1337" s="3"/>
      <c r="F1337" s="10"/>
    </row>
    <row r="1338" spans="3:6">
      <c r="C1338" s="1"/>
      <c r="E1338" s="3"/>
      <c r="F1338" s="10"/>
    </row>
    <row r="1339" spans="3:6">
      <c r="C1339" s="1"/>
      <c r="E1339" s="3"/>
      <c r="F1339" s="10"/>
    </row>
    <row r="1340" spans="3:6">
      <c r="C1340" s="1"/>
      <c r="E1340" s="3"/>
      <c r="F1340" s="10"/>
    </row>
    <row r="1341" spans="3:6">
      <c r="C1341" s="1"/>
      <c r="E1341" s="3"/>
      <c r="F1341" s="10"/>
    </row>
    <row r="1342" spans="3:6">
      <c r="C1342" s="1"/>
      <c r="E1342" s="3"/>
      <c r="F1342" s="10"/>
    </row>
    <row r="1343" spans="3:6">
      <c r="C1343" s="1"/>
      <c r="E1343" s="3"/>
      <c r="F1343" s="10"/>
    </row>
    <row r="1344" spans="3:6">
      <c r="C1344" s="1"/>
      <c r="E1344" s="3"/>
      <c r="F1344" s="10"/>
    </row>
    <row r="1345" spans="3:6">
      <c r="C1345" s="1"/>
      <c r="E1345" s="3"/>
      <c r="F1345" s="10"/>
    </row>
    <row r="1346" spans="3:6">
      <c r="C1346" s="1"/>
      <c r="E1346" s="3"/>
      <c r="F1346" s="10"/>
    </row>
    <row r="1347" spans="3:6">
      <c r="C1347" s="1"/>
      <c r="E1347" s="3"/>
      <c r="F1347" s="10"/>
    </row>
    <row r="1348" spans="3:6">
      <c r="C1348" s="1"/>
      <c r="E1348" s="3"/>
      <c r="F1348" s="10"/>
    </row>
    <row r="1349" spans="3:6">
      <c r="C1349" s="1"/>
      <c r="E1349" s="3"/>
      <c r="F1349" s="10"/>
    </row>
    <row r="1350" spans="3:6">
      <c r="C1350" s="1"/>
      <c r="E1350" s="3"/>
      <c r="F1350" s="10"/>
    </row>
    <row r="1351" spans="3:6">
      <c r="C1351" s="1"/>
      <c r="E1351" s="3"/>
      <c r="F1351" s="10"/>
    </row>
    <row r="1352" spans="3:6">
      <c r="C1352" s="1"/>
      <c r="E1352" s="3"/>
      <c r="F1352" s="10"/>
    </row>
    <row r="1353" spans="3:6">
      <c r="C1353" s="1"/>
      <c r="E1353" s="3"/>
      <c r="F1353" s="10"/>
    </row>
    <row r="1354" spans="3:6">
      <c r="C1354" s="1"/>
      <c r="E1354" s="3"/>
      <c r="F1354" s="10"/>
    </row>
    <row r="1355" spans="3:6">
      <c r="C1355" s="1"/>
      <c r="E1355" s="3"/>
      <c r="F1355" s="10"/>
    </row>
    <row r="1356" spans="3:6">
      <c r="C1356" s="1"/>
      <c r="E1356" s="3"/>
      <c r="F1356" s="10"/>
    </row>
    <row r="1357" spans="3:6">
      <c r="C1357" s="1"/>
      <c r="E1357" s="3"/>
      <c r="F1357" s="10"/>
    </row>
    <row r="1358" spans="3:6">
      <c r="C1358" s="1"/>
      <c r="E1358" s="3"/>
      <c r="F1358" s="10"/>
    </row>
    <row r="1359" spans="3:6">
      <c r="C1359" s="1"/>
      <c r="E1359" s="3"/>
      <c r="F1359" s="10"/>
    </row>
    <row r="1360" spans="3:6">
      <c r="C1360" s="1"/>
      <c r="E1360" s="3"/>
      <c r="F1360" s="10"/>
    </row>
    <row r="1361" spans="3:6">
      <c r="C1361" s="1"/>
      <c r="E1361" s="3"/>
      <c r="F1361" s="10"/>
    </row>
    <row r="1362" spans="3:6">
      <c r="C1362" s="1"/>
      <c r="E1362" s="3"/>
      <c r="F1362" s="10"/>
    </row>
    <row r="1363" spans="3:6">
      <c r="C1363" s="1"/>
      <c r="E1363" s="3"/>
      <c r="F1363" s="10"/>
    </row>
    <row r="1364" spans="3:6">
      <c r="C1364" s="1"/>
      <c r="E1364" s="3"/>
      <c r="F1364" s="10"/>
    </row>
    <row r="1365" spans="3:6">
      <c r="C1365" s="1"/>
      <c r="E1365" s="3"/>
      <c r="F1365" s="10"/>
    </row>
    <row r="1366" spans="3:6">
      <c r="C1366" s="1"/>
      <c r="E1366" s="3"/>
      <c r="F1366" s="10"/>
    </row>
    <row r="1367" spans="3:6">
      <c r="C1367" s="1"/>
      <c r="E1367" s="3"/>
      <c r="F1367" s="10"/>
    </row>
    <row r="1368" spans="3:6">
      <c r="C1368" s="1"/>
      <c r="E1368" s="3"/>
      <c r="F1368" s="10"/>
    </row>
    <row r="1369" spans="3:6">
      <c r="C1369" s="1"/>
      <c r="E1369" s="3"/>
      <c r="F1369" s="10"/>
    </row>
    <row r="1370" spans="3:6">
      <c r="C1370" s="1"/>
      <c r="E1370" s="3"/>
      <c r="F1370" s="10"/>
    </row>
    <row r="1371" spans="3:6">
      <c r="C1371" s="1"/>
      <c r="E1371" s="3"/>
      <c r="F1371" s="10"/>
    </row>
    <row r="1372" spans="3:6">
      <c r="C1372" s="1"/>
      <c r="E1372" s="3"/>
      <c r="F1372" s="10"/>
    </row>
    <row r="1373" spans="3:6">
      <c r="C1373" s="1"/>
      <c r="E1373" s="3"/>
      <c r="F1373" s="10"/>
    </row>
    <row r="1374" spans="3:6">
      <c r="C1374" s="1"/>
      <c r="E1374" s="3"/>
      <c r="F1374" s="10"/>
    </row>
    <row r="1375" spans="3:6">
      <c r="C1375" s="1"/>
      <c r="E1375" s="3"/>
      <c r="F1375" s="10"/>
    </row>
    <row r="1376" spans="3:6">
      <c r="C1376" s="1"/>
      <c r="E1376" s="3"/>
      <c r="F1376" s="10"/>
    </row>
    <row r="1377" spans="3:6">
      <c r="C1377" s="1"/>
      <c r="E1377" s="3"/>
      <c r="F1377" s="10"/>
    </row>
    <row r="1378" spans="3:6">
      <c r="C1378" s="1"/>
      <c r="E1378" s="3"/>
      <c r="F1378" s="10"/>
    </row>
    <row r="1379" spans="3:6">
      <c r="C1379" s="1"/>
      <c r="E1379" s="3"/>
      <c r="F1379" s="10"/>
    </row>
    <row r="1380" spans="3:6">
      <c r="C1380" s="1"/>
      <c r="E1380" s="3"/>
      <c r="F1380" s="10"/>
    </row>
    <row r="1381" spans="3:6">
      <c r="C1381" s="1"/>
      <c r="E1381" s="3"/>
      <c r="F1381" s="10"/>
    </row>
    <row r="1382" spans="3:6">
      <c r="C1382" s="1"/>
      <c r="E1382" s="3"/>
      <c r="F1382" s="10"/>
    </row>
    <row r="1383" spans="3:6">
      <c r="C1383" s="1"/>
      <c r="E1383" s="3"/>
      <c r="F1383" s="10"/>
    </row>
    <row r="1384" spans="3:6">
      <c r="C1384" s="1"/>
      <c r="E1384" s="3"/>
      <c r="F1384" s="10"/>
    </row>
    <row r="1385" spans="3:6">
      <c r="C1385" s="1"/>
      <c r="E1385" s="3"/>
      <c r="F1385" s="10"/>
    </row>
    <row r="1386" spans="3:6">
      <c r="C1386" s="1"/>
      <c r="E1386" s="3"/>
      <c r="F1386" s="10"/>
    </row>
    <row r="1387" spans="3:6">
      <c r="C1387" s="1"/>
      <c r="E1387" s="3"/>
      <c r="F1387" s="10"/>
    </row>
    <row r="1388" spans="3:6">
      <c r="C1388" s="1"/>
      <c r="E1388" s="3"/>
      <c r="F1388" s="10"/>
    </row>
    <row r="1389" spans="3:6">
      <c r="C1389" s="1"/>
      <c r="E1389" s="3"/>
      <c r="F1389" s="10"/>
    </row>
    <row r="1390" spans="3:6">
      <c r="C1390" s="1"/>
      <c r="E1390" s="3"/>
      <c r="F1390" s="10"/>
    </row>
    <row r="1391" spans="3:6">
      <c r="C1391" s="1"/>
      <c r="E1391" s="3"/>
      <c r="F1391" s="10"/>
    </row>
    <row r="1392" spans="3:6">
      <c r="C1392" s="1"/>
      <c r="E1392" s="3"/>
      <c r="F1392" s="10"/>
    </row>
    <row r="1393" spans="3:6">
      <c r="C1393" s="1"/>
      <c r="E1393" s="3"/>
      <c r="F1393" s="10"/>
    </row>
    <row r="1394" spans="3:6">
      <c r="C1394" s="1"/>
      <c r="E1394" s="3"/>
      <c r="F1394" s="10"/>
    </row>
    <row r="1395" spans="3:6">
      <c r="C1395" s="1"/>
      <c r="E1395" s="3"/>
      <c r="F1395" s="10"/>
    </row>
    <row r="1396" spans="3:6">
      <c r="C1396" s="1"/>
      <c r="E1396" s="3"/>
      <c r="F1396" s="10"/>
    </row>
    <row r="1397" spans="3:6">
      <c r="C1397" s="1"/>
      <c r="E1397" s="3"/>
      <c r="F1397" s="10"/>
    </row>
    <row r="1398" spans="3:6">
      <c r="C1398" s="1"/>
      <c r="E1398" s="3"/>
      <c r="F1398" s="10"/>
    </row>
    <row r="1399" spans="3:6">
      <c r="C1399" s="1"/>
      <c r="E1399" s="3"/>
      <c r="F1399" s="10"/>
    </row>
    <row r="1400" spans="3:6">
      <c r="C1400" s="1"/>
      <c r="E1400" s="3"/>
      <c r="F1400" s="10"/>
    </row>
    <row r="1401" spans="3:6">
      <c r="C1401" s="1"/>
      <c r="E1401" s="3"/>
      <c r="F1401" s="10"/>
    </row>
    <row r="1402" spans="3:6">
      <c r="C1402" s="1"/>
      <c r="E1402" s="3"/>
      <c r="F1402" s="10"/>
    </row>
    <row r="1403" spans="3:6">
      <c r="C1403" s="1"/>
      <c r="E1403" s="3"/>
      <c r="F1403" s="10"/>
    </row>
    <row r="1404" spans="3:6">
      <c r="C1404" s="1"/>
      <c r="E1404" s="3"/>
      <c r="F1404" s="10"/>
    </row>
    <row r="1405" spans="3:6">
      <c r="C1405" s="1"/>
      <c r="E1405" s="3"/>
      <c r="F1405" s="10"/>
    </row>
    <row r="1406" spans="3:6">
      <c r="C1406" s="1"/>
      <c r="E1406" s="3"/>
      <c r="F1406" s="10"/>
    </row>
    <row r="1407" spans="3:6">
      <c r="C1407" s="1"/>
      <c r="E1407" s="3"/>
      <c r="F1407" s="10"/>
    </row>
    <row r="1408" spans="3:6">
      <c r="C1408" s="1"/>
      <c r="E1408" s="3"/>
      <c r="F1408" s="10"/>
    </row>
    <row r="1409" spans="3:6">
      <c r="C1409" s="1"/>
      <c r="E1409" s="3"/>
      <c r="F1409" s="10"/>
    </row>
    <row r="1410" spans="3:6">
      <c r="C1410" s="1"/>
      <c r="E1410" s="3"/>
      <c r="F1410" s="10"/>
    </row>
    <row r="1411" spans="3:6">
      <c r="C1411" s="1"/>
      <c r="E1411" s="3"/>
      <c r="F1411" s="10"/>
    </row>
    <row r="1412" spans="3:6">
      <c r="C1412" s="1"/>
      <c r="E1412" s="3"/>
      <c r="F1412" s="10"/>
    </row>
    <row r="1413" spans="3:6">
      <c r="C1413" s="1"/>
      <c r="E1413" s="3"/>
      <c r="F1413" s="10"/>
    </row>
    <row r="1414" spans="3:6">
      <c r="C1414" s="1"/>
      <c r="E1414" s="3"/>
      <c r="F1414" s="10"/>
    </row>
    <row r="1415" spans="3:6">
      <c r="C1415" s="1"/>
      <c r="E1415" s="3"/>
      <c r="F1415" s="10"/>
    </row>
    <row r="1416" spans="3:6">
      <c r="C1416" s="1"/>
      <c r="E1416" s="3"/>
      <c r="F1416" s="10"/>
    </row>
    <row r="1417" spans="3:6">
      <c r="C1417" s="1"/>
      <c r="E1417" s="3"/>
      <c r="F1417" s="10"/>
    </row>
    <row r="1418" spans="3:6">
      <c r="C1418" s="1"/>
      <c r="E1418" s="3"/>
      <c r="F1418" s="10"/>
    </row>
    <row r="1419" spans="3:6">
      <c r="C1419" s="1"/>
      <c r="E1419" s="3"/>
      <c r="F1419" s="10"/>
    </row>
    <row r="1420" spans="3:6">
      <c r="C1420" s="1"/>
      <c r="E1420" s="3"/>
      <c r="F1420" s="10"/>
    </row>
    <row r="1421" spans="3:6">
      <c r="C1421" s="1"/>
      <c r="E1421" s="3"/>
      <c r="F1421" s="10"/>
    </row>
    <row r="1422" spans="3:6">
      <c r="C1422" s="1"/>
      <c r="E1422" s="3"/>
      <c r="F1422" s="10"/>
    </row>
    <row r="1423" spans="3:6">
      <c r="C1423" s="1"/>
      <c r="E1423" s="3"/>
      <c r="F1423" s="10"/>
    </row>
    <row r="1424" spans="3:6">
      <c r="C1424" s="1"/>
      <c r="E1424" s="3"/>
      <c r="F1424" s="10"/>
    </row>
    <row r="1425" spans="3:6">
      <c r="C1425" s="1"/>
      <c r="E1425" s="3"/>
      <c r="F1425" s="10"/>
    </row>
    <row r="1426" spans="3:6">
      <c r="C1426" s="1"/>
      <c r="E1426" s="3"/>
      <c r="F1426" s="10"/>
    </row>
    <row r="1427" spans="3:6">
      <c r="C1427" s="1"/>
      <c r="E1427" s="3"/>
      <c r="F1427" s="10"/>
    </row>
    <row r="1428" spans="3:6">
      <c r="C1428" s="1"/>
      <c r="E1428" s="3"/>
      <c r="F1428" s="10"/>
    </row>
    <row r="1429" spans="3:6">
      <c r="C1429" s="1"/>
      <c r="E1429" s="3"/>
      <c r="F1429" s="10"/>
    </row>
    <row r="1430" spans="3:6">
      <c r="C1430" s="1"/>
      <c r="E1430" s="3"/>
      <c r="F1430" s="10"/>
    </row>
    <row r="1431" spans="3:6">
      <c r="C1431" s="1"/>
      <c r="E1431" s="3"/>
      <c r="F1431" s="10"/>
    </row>
    <row r="1432" spans="3:6">
      <c r="C1432" s="1"/>
      <c r="E1432" s="3"/>
      <c r="F1432" s="10"/>
    </row>
    <row r="1433" spans="3:6">
      <c r="C1433" s="1"/>
      <c r="E1433" s="3"/>
      <c r="F1433" s="10"/>
    </row>
    <row r="1434" spans="3:6">
      <c r="C1434" s="1"/>
      <c r="E1434" s="3"/>
      <c r="F1434" s="10"/>
    </row>
    <row r="1435" spans="3:6">
      <c r="C1435" s="1"/>
      <c r="E1435" s="3"/>
      <c r="F1435" s="10"/>
    </row>
    <row r="1436" spans="3:6">
      <c r="C1436" s="1"/>
      <c r="E1436" s="3"/>
      <c r="F1436" s="10"/>
    </row>
    <row r="1437" spans="3:6">
      <c r="C1437" s="1"/>
      <c r="E1437" s="3"/>
      <c r="F1437" s="10"/>
    </row>
    <row r="1438" spans="3:6">
      <c r="C1438" s="1"/>
      <c r="E1438" s="3"/>
      <c r="F1438" s="10"/>
    </row>
    <row r="1439" spans="3:6">
      <c r="C1439" s="1"/>
      <c r="E1439" s="3"/>
      <c r="F1439" s="10"/>
    </row>
    <row r="1440" spans="3:6">
      <c r="C1440" s="1"/>
      <c r="E1440" s="3"/>
      <c r="F1440" s="10"/>
    </row>
    <row r="1441" spans="3:6">
      <c r="C1441" s="1"/>
      <c r="E1441" s="3"/>
      <c r="F1441" s="10"/>
    </row>
    <row r="1442" spans="3:6">
      <c r="C1442" s="1"/>
      <c r="E1442" s="3"/>
      <c r="F1442" s="10"/>
    </row>
    <row r="1443" spans="3:6">
      <c r="C1443" s="1"/>
      <c r="E1443" s="3"/>
      <c r="F1443" s="10"/>
    </row>
    <row r="1444" spans="3:6">
      <c r="C1444" s="1"/>
      <c r="E1444" s="3"/>
      <c r="F1444" s="10"/>
    </row>
    <row r="1445" spans="3:6">
      <c r="C1445" s="1"/>
      <c r="E1445" s="3"/>
      <c r="F1445" s="10"/>
    </row>
    <row r="1446" spans="3:6">
      <c r="C1446" s="1"/>
      <c r="E1446" s="3"/>
      <c r="F1446" s="10"/>
    </row>
    <row r="1447" spans="3:6">
      <c r="C1447" s="1"/>
      <c r="E1447" s="3"/>
      <c r="F1447" s="10"/>
    </row>
    <row r="1448" spans="3:6">
      <c r="C1448" s="1"/>
      <c r="E1448" s="3"/>
      <c r="F1448" s="10"/>
    </row>
    <row r="1449" spans="3:6">
      <c r="C1449" s="1"/>
      <c r="E1449" s="3"/>
      <c r="F1449" s="10"/>
    </row>
    <row r="1450" spans="3:6">
      <c r="C1450" s="1"/>
      <c r="E1450" s="3"/>
      <c r="F1450" s="10"/>
    </row>
    <row r="1451" spans="3:6">
      <c r="C1451" s="1"/>
      <c r="E1451" s="3"/>
      <c r="F1451" s="10"/>
    </row>
    <row r="1452" spans="3:6">
      <c r="C1452" s="1"/>
      <c r="E1452" s="3"/>
      <c r="F1452" s="10"/>
    </row>
    <row r="1453" spans="3:6">
      <c r="C1453" s="1"/>
      <c r="E1453" s="3"/>
      <c r="F1453" s="10"/>
    </row>
    <row r="1454" spans="3:6">
      <c r="C1454" s="1"/>
      <c r="E1454" s="3"/>
      <c r="F1454" s="10"/>
    </row>
    <row r="1455" spans="3:6">
      <c r="C1455" s="1"/>
      <c r="E1455" s="3"/>
      <c r="F1455" s="10"/>
    </row>
    <row r="1456" spans="3:6">
      <c r="C1456" s="1"/>
      <c r="E1456" s="3"/>
      <c r="F1456" s="10"/>
    </row>
    <row r="1457" spans="3:6">
      <c r="C1457" s="1"/>
      <c r="E1457" s="3"/>
      <c r="F1457" s="10"/>
    </row>
    <row r="1458" spans="3:6">
      <c r="C1458" s="1"/>
      <c r="E1458" s="3"/>
      <c r="F1458" s="10"/>
    </row>
    <row r="1459" spans="3:6">
      <c r="C1459" s="1"/>
      <c r="E1459" s="3"/>
      <c r="F1459" s="10"/>
    </row>
    <row r="1460" spans="3:6">
      <c r="C1460" s="1"/>
      <c r="E1460" s="3"/>
      <c r="F1460" s="10"/>
    </row>
    <row r="1461" spans="3:6">
      <c r="C1461" s="1"/>
      <c r="E1461" s="3"/>
      <c r="F1461" s="10"/>
    </row>
    <row r="1462" spans="3:6">
      <c r="C1462" s="1"/>
      <c r="E1462" s="3"/>
      <c r="F1462" s="10"/>
    </row>
    <row r="1463" spans="3:6">
      <c r="C1463" s="1"/>
      <c r="E1463" s="3"/>
      <c r="F1463" s="10"/>
    </row>
    <row r="1464" spans="3:6">
      <c r="C1464" s="1"/>
      <c r="E1464" s="3"/>
      <c r="F1464" s="10"/>
    </row>
    <row r="1465" spans="3:6">
      <c r="C1465" s="1"/>
      <c r="E1465" s="3"/>
      <c r="F1465" s="10"/>
    </row>
    <row r="1466" spans="3:6">
      <c r="C1466" s="1"/>
      <c r="E1466" s="3"/>
      <c r="F1466" s="10"/>
    </row>
    <row r="1467" spans="3:6">
      <c r="C1467" s="1"/>
      <c r="E1467" s="3"/>
      <c r="F1467" s="10"/>
    </row>
    <row r="1468" spans="3:6">
      <c r="C1468" s="1"/>
      <c r="E1468" s="3"/>
      <c r="F1468" s="10"/>
    </row>
    <row r="1469" spans="3:6">
      <c r="C1469" s="1"/>
      <c r="E1469" s="3"/>
      <c r="F1469" s="10"/>
    </row>
    <row r="1470" spans="3:6">
      <c r="C1470" s="1"/>
      <c r="E1470" s="3"/>
      <c r="F1470" s="10"/>
    </row>
    <row r="1471" spans="3:6">
      <c r="C1471" s="1"/>
      <c r="E1471" s="3"/>
      <c r="F1471" s="10"/>
    </row>
    <row r="1472" spans="3:6">
      <c r="C1472" s="1"/>
      <c r="E1472" s="3"/>
      <c r="F1472" s="10"/>
    </row>
    <row r="1473" spans="3:6">
      <c r="C1473" s="1"/>
      <c r="E1473" s="3"/>
      <c r="F1473" s="10"/>
    </row>
    <row r="1474" spans="3:6">
      <c r="C1474" s="1"/>
      <c r="E1474" s="3"/>
      <c r="F1474" s="10"/>
    </row>
    <row r="1475" spans="3:6">
      <c r="C1475" s="1"/>
      <c r="E1475" s="3"/>
      <c r="F1475" s="10"/>
    </row>
    <row r="1476" spans="3:6">
      <c r="C1476" s="1"/>
      <c r="E1476" s="3"/>
      <c r="F1476" s="10"/>
    </row>
    <row r="1477" spans="3:6">
      <c r="C1477" s="1"/>
      <c r="E1477" s="3"/>
      <c r="F1477" s="10"/>
    </row>
    <row r="1478" spans="3:6">
      <c r="C1478" s="1"/>
      <c r="E1478" s="3"/>
      <c r="F1478" s="10"/>
    </row>
    <row r="1479" spans="3:6">
      <c r="C1479" s="1"/>
      <c r="E1479" s="3"/>
      <c r="F1479" s="10"/>
    </row>
    <row r="1480" spans="3:6">
      <c r="C1480" s="1"/>
      <c r="E1480" s="3"/>
      <c r="F1480" s="10"/>
    </row>
    <row r="1481" spans="3:6">
      <c r="C1481" s="1"/>
      <c r="E1481" s="3"/>
      <c r="F1481" s="10"/>
    </row>
    <row r="1482" spans="3:6">
      <c r="C1482" s="1"/>
      <c r="E1482" s="3"/>
      <c r="F1482" s="10"/>
    </row>
    <row r="1483" spans="3:6">
      <c r="C1483" s="1"/>
      <c r="E1483" s="3"/>
      <c r="F1483" s="10"/>
    </row>
    <row r="1484" spans="3:6">
      <c r="C1484" s="1"/>
      <c r="E1484" s="3"/>
      <c r="F1484" s="10"/>
    </row>
    <row r="1485" spans="3:6">
      <c r="C1485" s="1"/>
      <c r="E1485" s="3"/>
      <c r="F1485" s="10"/>
    </row>
    <row r="1486" spans="3:6">
      <c r="C1486" s="1"/>
      <c r="E1486" s="3"/>
      <c r="F1486" s="10"/>
    </row>
    <row r="1487" spans="3:6">
      <c r="C1487" s="1"/>
      <c r="E1487" s="3"/>
      <c r="F1487" s="10"/>
    </row>
    <row r="1488" spans="3:6">
      <c r="C1488" s="1"/>
      <c r="E1488" s="3"/>
      <c r="F1488" s="10"/>
    </row>
    <row r="1489" spans="3:6">
      <c r="C1489" s="1"/>
      <c r="E1489" s="3"/>
      <c r="F1489" s="10"/>
    </row>
    <row r="1490" spans="3:6">
      <c r="C1490" s="1"/>
      <c r="E1490" s="3"/>
      <c r="F1490" s="10"/>
    </row>
    <row r="1491" spans="3:6">
      <c r="C1491" s="1"/>
      <c r="E1491" s="3"/>
      <c r="F1491" s="10"/>
    </row>
    <row r="1492" spans="3:6">
      <c r="C1492" s="1"/>
      <c r="E1492" s="3"/>
      <c r="F1492" s="10"/>
    </row>
    <row r="1493" spans="3:6">
      <c r="C1493" s="1"/>
      <c r="E1493" s="3"/>
      <c r="F1493" s="10"/>
    </row>
    <row r="1494" spans="3:6">
      <c r="C1494" s="1"/>
      <c r="E1494" s="3"/>
      <c r="F1494" s="10"/>
    </row>
    <row r="1495" spans="3:6">
      <c r="C1495" s="1"/>
      <c r="E1495" s="3"/>
      <c r="F1495" s="10"/>
    </row>
    <row r="1496" spans="3:6">
      <c r="C1496" s="1"/>
      <c r="E1496" s="3"/>
      <c r="F1496" s="10"/>
    </row>
    <row r="1497" spans="3:6">
      <c r="C1497" s="1"/>
      <c r="E1497" s="3"/>
      <c r="F1497" s="10"/>
    </row>
    <row r="1498" spans="3:6">
      <c r="C1498" s="1"/>
      <c r="E1498" s="3"/>
      <c r="F1498" s="10"/>
    </row>
    <row r="1499" spans="3:6">
      <c r="C1499" s="1"/>
      <c r="E1499" s="3"/>
      <c r="F1499" s="10"/>
    </row>
    <row r="1500" spans="3:6">
      <c r="C1500" s="1"/>
      <c r="E1500" s="3"/>
      <c r="F1500" s="10"/>
    </row>
    <row r="1501" spans="3:6">
      <c r="C1501" s="1"/>
      <c r="E1501" s="3"/>
      <c r="F1501" s="10"/>
    </row>
    <row r="1502" spans="3:6">
      <c r="C1502" s="1"/>
      <c r="E1502" s="3"/>
      <c r="F1502" s="10"/>
    </row>
    <row r="1503" spans="3:6">
      <c r="C1503" s="1"/>
      <c r="E1503" s="3"/>
      <c r="F1503" s="10"/>
    </row>
    <row r="1504" spans="3:6">
      <c r="C1504" s="1"/>
      <c r="E1504" s="3"/>
      <c r="F1504" s="10"/>
    </row>
    <row r="1505" spans="3:6">
      <c r="C1505" s="1"/>
      <c r="E1505" s="3"/>
      <c r="F1505" s="10"/>
    </row>
    <row r="1506" spans="3:6">
      <c r="C1506" s="1"/>
      <c r="E1506" s="3"/>
      <c r="F1506" s="10"/>
    </row>
    <row r="1507" spans="3:6">
      <c r="C1507" s="1"/>
      <c r="E1507" s="3"/>
      <c r="F1507" s="10"/>
    </row>
    <row r="1508" spans="3:6">
      <c r="C1508" s="1"/>
      <c r="E1508" s="3"/>
      <c r="F1508" s="10"/>
    </row>
    <row r="1509" spans="3:6">
      <c r="C1509" s="1"/>
      <c r="E1509" s="3"/>
      <c r="F1509" s="10"/>
    </row>
    <row r="1510" spans="3:6">
      <c r="C1510" s="1"/>
      <c r="E1510" s="3"/>
      <c r="F1510" s="10"/>
    </row>
    <row r="1511" spans="3:6">
      <c r="C1511" s="1"/>
      <c r="E1511" s="3"/>
      <c r="F1511" s="10"/>
    </row>
    <row r="1512" spans="3:6">
      <c r="C1512" s="1"/>
      <c r="E1512" s="3"/>
      <c r="F1512" s="10"/>
    </row>
    <row r="1513" spans="3:6">
      <c r="C1513" s="1"/>
      <c r="E1513" s="3"/>
      <c r="F1513" s="10"/>
    </row>
    <row r="1514" spans="3:6">
      <c r="C1514" s="1"/>
      <c r="E1514" s="3"/>
      <c r="F1514" s="10"/>
    </row>
    <row r="1515" spans="3:6">
      <c r="C1515" s="1"/>
      <c r="E1515" s="3"/>
      <c r="F1515" s="10"/>
    </row>
    <row r="1516" spans="3:6">
      <c r="C1516" s="1"/>
      <c r="E1516" s="3"/>
      <c r="F1516" s="10"/>
    </row>
    <row r="1517" spans="3:6">
      <c r="C1517" s="1"/>
      <c r="E1517" s="3"/>
      <c r="F1517" s="10"/>
    </row>
    <row r="1518" spans="3:6">
      <c r="C1518" s="1"/>
      <c r="E1518" s="3"/>
      <c r="F1518" s="10"/>
    </row>
    <row r="1519" spans="3:6">
      <c r="C1519" s="1"/>
      <c r="E1519" s="3"/>
      <c r="F1519" s="10"/>
    </row>
    <row r="1520" spans="3:6">
      <c r="C1520" s="1"/>
      <c r="E1520" s="3"/>
      <c r="F1520" s="10"/>
    </row>
    <row r="1521" spans="3:6">
      <c r="C1521" s="1"/>
      <c r="E1521" s="3"/>
      <c r="F1521" s="10"/>
    </row>
    <row r="1522" spans="3:6">
      <c r="C1522" s="1"/>
      <c r="E1522" s="3"/>
      <c r="F1522" s="10"/>
    </row>
    <row r="1523" spans="3:6">
      <c r="C1523" s="1"/>
      <c r="E1523" s="3"/>
      <c r="F1523" s="10"/>
    </row>
    <row r="1524" spans="3:6">
      <c r="C1524" s="1"/>
      <c r="E1524" s="3"/>
      <c r="F1524" s="10"/>
    </row>
    <row r="1525" spans="3:6">
      <c r="C1525" s="1"/>
      <c r="E1525" s="3"/>
      <c r="F1525" s="10"/>
    </row>
    <row r="1526" spans="3:6">
      <c r="C1526" s="1"/>
      <c r="E1526" s="3"/>
      <c r="F1526" s="10"/>
    </row>
    <row r="1527" spans="3:6">
      <c r="C1527" s="1"/>
      <c r="E1527" s="3"/>
      <c r="F1527" s="10"/>
    </row>
    <row r="1528" spans="3:6">
      <c r="C1528" s="1"/>
      <c r="E1528" s="3"/>
      <c r="F1528" s="10"/>
    </row>
    <row r="1529" spans="3:6">
      <c r="C1529" s="1"/>
      <c r="E1529" s="3"/>
      <c r="F1529" s="10"/>
    </row>
    <row r="1530" spans="3:6">
      <c r="C1530" s="1"/>
      <c r="E1530" s="3"/>
      <c r="F1530" s="10"/>
    </row>
    <row r="1531" spans="3:6">
      <c r="C1531" s="1"/>
      <c r="E1531" s="3"/>
      <c r="F1531" s="10"/>
    </row>
    <row r="1532" spans="3:6">
      <c r="C1532" s="1"/>
      <c r="E1532" s="3"/>
      <c r="F1532" s="10"/>
    </row>
    <row r="1533" spans="3:6">
      <c r="C1533" s="1"/>
      <c r="E1533" s="3"/>
      <c r="F1533" s="10"/>
    </row>
    <row r="1534" spans="3:6">
      <c r="C1534" s="1"/>
      <c r="E1534" s="3"/>
      <c r="F1534" s="10"/>
    </row>
    <row r="1535" spans="3:6">
      <c r="C1535" s="1"/>
      <c r="E1535" s="3"/>
      <c r="F1535" s="10"/>
    </row>
    <row r="1536" spans="3:6">
      <c r="C1536" s="1"/>
      <c r="E1536" s="3"/>
      <c r="F1536" s="10"/>
    </row>
    <row r="1537" spans="3:6">
      <c r="C1537" s="1"/>
      <c r="E1537" s="3"/>
      <c r="F1537" s="10"/>
    </row>
    <row r="1538" spans="3:6">
      <c r="C1538" s="1"/>
      <c r="E1538" s="3"/>
      <c r="F1538" s="10"/>
    </row>
    <row r="1539" spans="3:6">
      <c r="C1539" s="1"/>
      <c r="E1539" s="3"/>
      <c r="F1539" s="10"/>
    </row>
    <row r="1540" spans="3:6">
      <c r="C1540" s="1"/>
      <c r="E1540" s="3"/>
      <c r="F1540" s="10"/>
    </row>
    <row r="1541" spans="3:6">
      <c r="C1541" s="1"/>
      <c r="E1541" s="3"/>
      <c r="F1541" s="10"/>
    </row>
    <row r="1542" spans="3:6">
      <c r="C1542" s="1"/>
      <c r="E1542" s="3"/>
      <c r="F1542" s="10"/>
    </row>
    <row r="1543" spans="3:6">
      <c r="C1543" s="1"/>
      <c r="E1543" s="3"/>
      <c r="F1543" s="10"/>
    </row>
    <row r="1544" spans="3:6">
      <c r="C1544" s="1"/>
      <c r="E1544" s="3"/>
      <c r="F1544" s="10"/>
    </row>
    <row r="1545" spans="3:6">
      <c r="C1545" s="1"/>
      <c r="E1545" s="3"/>
      <c r="F1545" s="10"/>
    </row>
    <row r="1546" spans="3:6">
      <c r="C1546" s="1"/>
      <c r="E1546" s="3"/>
      <c r="F1546" s="10"/>
    </row>
    <row r="1547" spans="3:6">
      <c r="C1547" s="1"/>
      <c r="E1547" s="3"/>
      <c r="F1547" s="10"/>
    </row>
    <row r="1548" spans="3:6">
      <c r="C1548" s="1"/>
      <c r="E1548" s="3"/>
      <c r="F1548" s="10"/>
    </row>
    <row r="1549" spans="3:6">
      <c r="C1549" s="1"/>
      <c r="E1549" s="3"/>
      <c r="F1549" s="10"/>
    </row>
    <row r="1550" spans="3:6">
      <c r="C1550" s="1"/>
      <c r="E1550" s="3"/>
      <c r="F1550" s="10"/>
    </row>
    <row r="1551" spans="3:6">
      <c r="C1551" s="1"/>
      <c r="E1551" s="3"/>
      <c r="F1551" s="10"/>
    </row>
    <row r="1552" spans="3:6">
      <c r="C1552" s="1"/>
      <c r="E1552" s="3"/>
      <c r="F1552" s="10"/>
    </row>
    <row r="1553" spans="3:6">
      <c r="C1553" s="1"/>
      <c r="E1553" s="3"/>
      <c r="F1553" s="10"/>
    </row>
    <row r="1554" spans="3:6">
      <c r="C1554" s="1"/>
      <c r="E1554" s="3"/>
      <c r="F1554" s="10"/>
    </row>
    <row r="1555" spans="3:6">
      <c r="C1555" s="1"/>
      <c r="E1555" s="3"/>
      <c r="F1555" s="10"/>
    </row>
    <row r="1556" spans="3:6">
      <c r="C1556" s="1"/>
      <c r="E1556" s="3"/>
      <c r="F1556" s="10"/>
    </row>
    <row r="1557" spans="3:6">
      <c r="C1557" s="1"/>
      <c r="E1557" s="3"/>
      <c r="F1557" s="10"/>
    </row>
    <row r="1558" spans="3:6">
      <c r="C1558" s="1"/>
      <c r="E1558" s="3"/>
      <c r="F1558" s="10"/>
    </row>
    <row r="1559" spans="3:6">
      <c r="C1559" s="1"/>
      <c r="E1559" s="3"/>
      <c r="F1559" s="10"/>
    </row>
    <row r="1560" spans="3:6">
      <c r="C1560" s="1"/>
      <c r="E1560" s="3"/>
      <c r="F1560" s="10"/>
    </row>
    <row r="1561" spans="3:6">
      <c r="C1561" s="1"/>
      <c r="E1561" s="3"/>
      <c r="F1561" s="10"/>
    </row>
    <row r="1562" spans="3:6">
      <c r="C1562" s="1"/>
      <c r="E1562" s="3"/>
      <c r="F1562" s="10"/>
    </row>
    <row r="1563" spans="3:6">
      <c r="C1563" s="1"/>
      <c r="E1563" s="3"/>
      <c r="F1563" s="10"/>
    </row>
    <row r="1564" spans="3:6">
      <c r="C1564" s="1"/>
      <c r="E1564" s="3"/>
      <c r="F1564" s="10"/>
    </row>
    <row r="1565" spans="3:6">
      <c r="C1565" s="1"/>
      <c r="E1565" s="3"/>
      <c r="F1565" s="10"/>
    </row>
    <row r="1566" spans="3:6">
      <c r="C1566" s="1"/>
      <c r="E1566" s="3"/>
      <c r="F1566" s="10"/>
    </row>
    <row r="1567" spans="3:6">
      <c r="C1567" s="1"/>
      <c r="E1567" s="3"/>
      <c r="F1567" s="10"/>
    </row>
    <row r="1568" spans="3:6">
      <c r="C1568" s="1"/>
      <c r="E1568" s="3"/>
      <c r="F1568" s="10"/>
    </row>
    <row r="1569" spans="3:6">
      <c r="C1569" s="1"/>
      <c r="E1569" s="3"/>
      <c r="F1569" s="10"/>
    </row>
    <row r="1570" spans="3:6">
      <c r="C1570" s="1"/>
      <c r="E1570" s="3"/>
      <c r="F1570" s="10"/>
    </row>
    <row r="1571" spans="3:6">
      <c r="C1571" s="1"/>
      <c r="E1571" s="3"/>
      <c r="F1571" s="10"/>
    </row>
    <row r="1572" spans="3:6">
      <c r="C1572" s="1"/>
      <c r="E1572" s="3"/>
      <c r="F1572" s="10"/>
    </row>
    <row r="1573" spans="3:6">
      <c r="C1573" s="1"/>
      <c r="E1573" s="3"/>
      <c r="F1573" s="10"/>
    </row>
    <row r="1574" spans="3:6">
      <c r="C1574" s="1"/>
      <c r="E1574" s="3"/>
      <c r="F1574" s="10"/>
    </row>
    <row r="1575" spans="3:6">
      <c r="C1575" s="1"/>
      <c r="E1575" s="3"/>
      <c r="F1575" s="10"/>
    </row>
    <row r="1576" spans="3:6">
      <c r="C1576" s="1"/>
      <c r="E1576" s="3"/>
      <c r="F1576" s="10"/>
    </row>
    <row r="1577" spans="3:6">
      <c r="C1577" s="1"/>
      <c r="E1577" s="3"/>
      <c r="F1577" s="10"/>
    </row>
    <row r="1578" spans="3:6">
      <c r="C1578" s="1"/>
      <c r="E1578" s="3"/>
      <c r="F1578" s="10"/>
    </row>
    <row r="1579" spans="3:6">
      <c r="C1579" s="1"/>
      <c r="E1579" s="3"/>
      <c r="F1579" s="10"/>
    </row>
    <row r="1580" spans="3:6">
      <c r="C1580" s="1"/>
      <c r="E1580" s="3"/>
      <c r="F1580" s="10"/>
    </row>
    <row r="1581" spans="3:6">
      <c r="C1581" s="1"/>
      <c r="E1581" s="3"/>
      <c r="F1581" s="10"/>
    </row>
    <row r="1582" spans="3:6">
      <c r="C1582" s="1"/>
      <c r="E1582" s="3"/>
      <c r="F1582" s="10"/>
    </row>
    <row r="1583" spans="3:6">
      <c r="C1583" s="1"/>
      <c r="E1583" s="3"/>
      <c r="F1583" s="10"/>
    </row>
    <row r="1584" spans="3:6">
      <c r="C1584" s="1"/>
      <c r="E1584" s="3"/>
      <c r="F1584" s="10"/>
    </row>
    <row r="1585" spans="3:6">
      <c r="C1585" s="1"/>
      <c r="E1585" s="3"/>
      <c r="F1585" s="10"/>
    </row>
    <row r="1586" spans="3:6">
      <c r="C1586" s="1"/>
      <c r="E1586" s="3"/>
      <c r="F1586" s="10"/>
    </row>
    <row r="1587" spans="3:6">
      <c r="C1587" s="1"/>
      <c r="E1587" s="3"/>
      <c r="F1587" s="10"/>
    </row>
    <row r="1588" spans="3:6">
      <c r="C1588" s="1"/>
      <c r="E1588" s="3"/>
      <c r="F1588" s="10"/>
    </row>
    <row r="1589" spans="3:6">
      <c r="C1589" s="1"/>
      <c r="E1589" s="3"/>
      <c r="F1589" s="10"/>
    </row>
    <row r="1590" spans="3:6">
      <c r="C1590" s="1"/>
      <c r="E1590" s="3"/>
      <c r="F1590" s="10"/>
    </row>
    <row r="1591" spans="3:6">
      <c r="C1591" s="1"/>
      <c r="E1591" s="3"/>
      <c r="F1591" s="10"/>
    </row>
    <row r="1592" spans="3:6">
      <c r="C1592" s="1"/>
      <c r="E1592" s="3"/>
      <c r="F1592" s="10"/>
    </row>
    <row r="1593" spans="3:6">
      <c r="C1593" s="1"/>
      <c r="E1593" s="3"/>
      <c r="F1593" s="10"/>
    </row>
    <row r="1594" spans="3:6">
      <c r="C1594" s="1"/>
      <c r="E1594" s="3"/>
      <c r="F1594" s="10"/>
    </row>
    <row r="1595" spans="3:6">
      <c r="C1595" s="1"/>
      <c r="E1595" s="3"/>
      <c r="F1595" s="10"/>
    </row>
    <row r="1596" spans="3:6">
      <c r="C1596" s="1"/>
      <c r="E1596" s="3"/>
      <c r="F1596" s="10"/>
    </row>
    <row r="1597" spans="3:6">
      <c r="C1597" s="1"/>
      <c r="E1597" s="3"/>
      <c r="F1597" s="10"/>
    </row>
    <row r="1598" spans="3:6">
      <c r="C1598" s="1"/>
      <c r="E1598" s="3"/>
      <c r="F1598" s="10"/>
    </row>
    <row r="1599" spans="3:6">
      <c r="C1599" s="1"/>
      <c r="E1599" s="3"/>
      <c r="F1599" s="10"/>
    </row>
    <row r="1600" spans="3:6">
      <c r="C1600" s="1"/>
      <c r="E1600" s="3"/>
      <c r="F1600" s="10"/>
    </row>
    <row r="1601" spans="3:6">
      <c r="C1601" s="1"/>
      <c r="E1601" s="3"/>
      <c r="F1601" s="10"/>
    </row>
    <row r="1602" spans="3:6">
      <c r="C1602" s="1"/>
      <c r="E1602" s="3"/>
      <c r="F1602" s="10"/>
    </row>
    <row r="1603" spans="3:6">
      <c r="C1603" s="1"/>
      <c r="E1603" s="3"/>
      <c r="F1603" s="10"/>
    </row>
    <row r="1604" spans="3:6">
      <c r="C1604" s="1"/>
      <c r="E1604" s="3"/>
      <c r="F1604" s="10"/>
    </row>
    <row r="1605" spans="3:6">
      <c r="C1605" s="1"/>
      <c r="E1605" s="3"/>
      <c r="F1605" s="10"/>
    </row>
    <row r="1606" spans="3:6">
      <c r="C1606" s="1"/>
      <c r="E1606" s="3"/>
      <c r="F1606" s="10"/>
    </row>
    <row r="1607" spans="3:6">
      <c r="C1607" s="1"/>
      <c r="E1607" s="3"/>
      <c r="F1607" s="10"/>
    </row>
    <row r="1608" spans="3:6">
      <c r="C1608" s="1"/>
      <c r="E1608" s="3"/>
      <c r="F1608" s="10"/>
    </row>
    <row r="1609" spans="3:6">
      <c r="C1609" s="1"/>
      <c r="E1609" s="3"/>
      <c r="F1609" s="10"/>
    </row>
    <row r="1610" spans="3:6">
      <c r="C1610" s="1"/>
      <c r="E1610" s="3"/>
      <c r="F1610" s="10"/>
    </row>
    <row r="1611" spans="3:6">
      <c r="C1611" s="1"/>
      <c r="E1611" s="3"/>
      <c r="F1611" s="10"/>
    </row>
    <row r="1612" spans="3:6">
      <c r="C1612" s="1"/>
      <c r="E1612" s="3"/>
      <c r="F1612" s="10"/>
    </row>
    <row r="1613" spans="3:6">
      <c r="C1613" s="1"/>
      <c r="E1613" s="3"/>
      <c r="F1613" s="10"/>
    </row>
    <row r="1614" spans="3:6">
      <c r="C1614" s="1"/>
      <c r="E1614" s="3"/>
      <c r="F1614" s="10"/>
    </row>
    <row r="1615" spans="3:6">
      <c r="C1615" s="1"/>
      <c r="E1615" s="3"/>
      <c r="F1615" s="10"/>
    </row>
    <row r="1616" spans="3:6">
      <c r="C1616" s="1"/>
      <c r="E1616" s="3"/>
      <c r="F1616" s="10"/>
    </row>
    <row r="1617" spans="3:6">
      <c r="C1617" s="1"/>
      <c r="E1617" s="3"/>
      <c r="F1617" s="10"/>
    </row>
    <row r="1618" spans="3:6">
      <c r="C1618" s="1"/>
      <c r="E1618" s="3"/>
      <c r="F1618" s="10"/>
    </row>
    <row r="1619" spans="3:6">
      <c r="C1619" s="1"/>
      <c r="E1619" s="3"/>
      <c r="F1619" s="10"/>
    </row>
    <row r="1620" spans="3:6">
      <c r="C1620" s="1"/>
      <c r="E1620" s="3"/>
      <c r="F1620" s="10"/>
    </row>
    <row r="1621" spans="3:6">
      <c r="C1621" s="1"/>
      <c r="E1621" s="3"/>
      <c r="F1621" s="10"/>
    </row>
    <row r="1622" spans="3:6">
      <c r="C1622" s="1"/>
      <c r="E1622" s="3"/>
      <c r="F1622" s="10"/>
    </row>
    <row r="1623" spans="3:6">
      <c r="C1623" s="1"/>
      <c r="E1623" s="3"/>
      <c r="F1623" s="10"/>
    </row>
    <row r="1624" spans="3:6">
      <c r="C1624" s="1"/>
      <c r="E1624" s="3"/>
      <c r="F1624" s="10"/>
    </row>
    <row r="1625" spans="3:6">
      <c r="C1625" s="1"/>
      <c r="E1625" s="3"/>
      <c r="F1625" s="10"/>
    </row>
    <row r="1626" spans="3:6">
      <c r="C1626" s="1"/>
      <c r="E1626" s="3"/>
      <c r="F1626" s="10"/>
    </row>
    <row r="1627" spans="3:6">
      <c r="C1627" s="1"/>
      <c r="E1627" s="3"/>
      <c r="F1627" s="10"/>
    </row>
    <row r="1628" spans="3:6">
      <c r="C1628" s="1"/>
      <c r="E1628" s="3"/>
      <c r="F1628" s="10"/>
    </row>
    <row r="1629" spans="3:6">
      <c r="C1629" s="1"/>
      <c r="E1629" s="3"/>
      <c r="F1629" s="10"/>
    </row>
    <row r="1630" spans="3:6">
      <c r="C1630" s="1"/>
      <c r="E1630" s="3"/>
      <c r="F1630" s="10"/>
    </row>
    <row r="1631" spans="3:6">
      <c r="C1631" s="1"/>
      <c r="E1631" s="3"/>
      <c r="F1631" s="10"/>
    </row>
    <row r="1632" spans="3:6">
      <c r="C1632" s="1"/>
      <c r="E1632" s="3"/>
      <c r="F1632" s="10"/>
    </row>
    <row r="1633" spans="3:6">
      <c r="C1633" s="1"/>
      <c r="E1633" s="3"/>
      <c r="F1633" s="10"/>
    </row>
    <row r="1634" spans="3:6">
      <c r="C1634" s="1"/>
      <c r="E1634" s="3"/>
      <c r="F1634" s="10"/>
    </row>
    <row r="1635" spans="3:6">
      <c r="C1635" s="1"/>
      <c r="E1635" s="3"/>
      <c r="F1635" s="10"/>
    </row>
    <row r="1636" spans="3:6">
      <c r="C1636" s="1"/>
      <c r="E1636" s="3"/>
      <c r="F1636" s="10"/>
    </row>
    <row r="1637" spans="3:6">
      <c r="C1637" s="1"/>
      <c r="E1637" s="3"/>
      <c r="F1637" s="10"/>
    </row>
    <row r="1638" spans="3:6">
      <c r="C1638" s="1"/>
      <c r="E1638" s="3"/>
      <c r="F1638" s="10"/>
    </row>
    <row r="1639" spans="3:6">
      <c r="C1639" s="1"/>
      <c r="E1639" s="3"/>
      <c r="F1639" s="10"/>
    </row>
    <row r="1640" spans="3:6">
      <c r="C1640" s="1"/>
      <c r="E1640" s="3"/>
      <c r="F1640" s="10"/>
    </row>
    <row r="1641" spans="3:6">
      <c r="C1641" s="1"/>
      <c r="E1641" s="3"/>
      <c r="F1641" s="10"/>
    </row>
    <row r="1642" spans="3:6">
      <c r="C1642" s="1"/>
      <c r="E1642" s="3"/>
      <c r="F1642" s="10"/>
    </row>
    <row r="1643" spans="3:6">
      <c r="C1643" s="1"/>
      <c r="E1643" s="3"/>
      <c r="F1643" s="10"/>
    </row>
    <row r="1644" spans="3:6">
      <c r="C1644" s="1"/>
      <c r="E1644" s="3"/>
      <c r="F1644" s="10"/>
    </row>
    <row r="1645" spans="3:6">
      <c r="C1645" s="1"/>
      <c r="E1645" s="3"/>
      <c r="F1645" s="10"/>
    </row>
    <row r="1646" spans="3:6">
      <c r="C1646" s="1"/>
      <c r="E1646" s="3"/>
      <c r="F1646" s="10"/>
    </row>
    <row r="1647" spans="3:6">
      <c r="C1647" s="1"/>
      <c r="E1647" s="3"/>
      <c r="F1647" s="10"/>
    </row>
    <row r="1648" spans="3:6">
      <c r="C1648" s="1"/>
      <c r="E1648" s="3"/>
      <c r="F1648" s="10"/>
    </row>
    <row r="1649" spans="3:6">
      <c r="C1649" s="1"/>
      <c r="E1649" s="3"/>
      <c r="F1649" s="10"/>
    </row>
    <row r="1650" spans="3:6">
      <c r="C1650" s="1"/>
      <c r="E1650" s="3"/>
      <c r="F1650" s="10"/>
    </row>
    <row r="1651" spans="3:6">
      <c r="C1651" s="1"/>
      <c r="E1651" s="3"/>
      <c r="F1651" s="10"/>
    </row>
    <row r="1652" spans="3:6">
      <c r="C1652" s="1"/>
      <c r="E1652" s="3"/>
      <c r="F1652" s="10"/>
    </row>
    <row r="1653" spans="3:6">
      <c r="C1653" s="1"/>
      <c r="E1653" s="3"/>
      <c r="F1653" s="10"/>
    </row>
    <row r="1654" spans="3:6">
      <c r="C1654" s="1"/>
      <c r="E1654" s="3"/>
      <c r="F1654" s="10"/>
    </row>
    <row r="1655" spans="3:6">
      <c r="C1655" s="1"/>
      <c r="E1655" s="3"/>
      <c r="F1655" s="10"/>
    </row>
    <row r="1656" spans="3:6">
      <c r="C1656" s="1"/>
      <c r="E1656" s="3"/>
      <c r="F1656" s="10"/>
    </row>
    <row r="1657" spans="3:6">
      <c r="C1657" s="1"/>
      <c r="E1657" s="3"/>
      <c r="F1657" s="10"/>
    </row>
    <row r="1658" spans="3:6">
      <c r="C1658" s="1"/>
      <c r="E1658" s="3"/>
      <c r="F1658" s="10"/>
    </row>
    <row r="1659" spans="3:6">
      <c r="C1659" s="1"/>
      <c r="E1659" s="3"/>
      <c r="F1659" s="10"/>
    </row>
    <row r="1660" spans="3:6">
      <c r="C1660" s="1"/>
      <c r="E1660" s="3"/>
      <c r="F1660" s="10"/>
    </row>
    <row r="1661" spans="3:6">
      <c r="C1661" s="1"/>
      <c r="E1661" s="3"/>
      <c r="F1661" s="10"/>
    </row>
    <row r="1662" spans="3:6">
      <c r="C1662" s="1"/>
      <c r="E1662" s="3"/>
      <c r="F1662" s="10"/>
    </row>
    <row r="1663" spans="3:6">
      <c r="C1663" s="1"/>
      <c r="E1663" s="3"/>
      <c r="F1663" s="10"/>
    </row>
    <row r="1664" spans="3:6">
      <c r="C1664" s="1"/>
      <c r="E1664" s="3"/>
      <c r="F1664" s="10"/>
    </row>
    <row r="1665" spans="3:6">
      <c r="C1665" s="1"/>
      <c r="E1665" s="3"/>
      <c r="F1665" s="10"/>
    </row>
    <row r="1666" spans="3:6">
      <c r="C1666" s="1"/>
      <c r="E1666" s="3"/>
      <c r="F1666" s="10"/>
    </row>
    <row r="1667" spans="3:6">
      <c r="C1667" s="1"/>
      <c r="E1667" s="3"/>
      <c r="F1667" s="10"/>
    </row>
    <row r="1668" spans="3:6">
      <c r="C1668" s="1"/>
      <c r="E1668" s="3"/>
      <c r="F1668" s="10"/>
    </row>
    <row r="1669" spans="3:6">
      <c r="C1669" s="1"/>
      <c r="E1669" s="3"/>
      <c r="F1669" s="10"/>
    </row>
    <row r="1670" spans="3:6">
      <c r="C1670" s="1"/>
      <c r="E1670" s="3"/>
      <c r="F1670" s="10"/>
    </row>
    <row r="1671" spans="3:6">
      <c r="C1671" s="1"/>
      <c r="E1671" s="3"/>
      <c r="F1671" s="10"/>
    </row>
    <row r="1672" spans="3:6">
      <c r="C1672" s="1"/>
      <c r="E1672" s="3"/>
      <c r="F1672" s="10"/>
    </row>
    <row r="1673" spans="3:6">
      <c r="C1673" s="1"/>
      <c r="E1673" s="3"/>
      <c r="F1673" s="10"/>
    </row>
    <row r="1674" spans="3:6">
      <c r="C1674" s="1"/>
      <c r="E1674" s="3"/>
      <c r="F1674" s="10"/>
    </row>
    <row r="1675" spans="3:6">
      <c r="C1675" s="1"/>
      <c r="E1675" s="3"/>
      <c r="F1675" s="10"/>
    </row>
    <row r="1676" spans="3:6">
      <c r="C1676" s="1"/>
      <c r="E1676" s="3"/>
      <c r="F1676" s="10"/>
    </row>
    <row r="1677" spans="3:6">
      <c r="C1677" s="1"/>
      <c r="E1677" s="3"/>
      <c r="F1677" s="10"/>
    </row>
    <row r="1678" spans="3:6">
      <c r="C1678" s="1"/>
      <c r="E1678" s="3"/>
      <c r="F1678" s="10"/>
    </row>
    <row r="1679" spans="3:6">
      <c r="C1679" s="1"/>
      <c r="E1679" s="3"/>
      <c r="F1679" s="10"/>
    </row>
    <row r="1680" spans="3:6">
      <c r="C1680" s="1"/>
      <c r="E1680" s="3"/>
      <c r="F1680" s="10"/>
    </row>
    <row r="1681" spans="3:6">
      <c r="C1681" s="1"/>
      <c r="E1681" s="3"/>
      <c r="F1681" s="10"/>
    </row>
    <row r="1682" spans="3:6">
      <c r="C1682" s="1"/>
      <c r="E1682" s="3"/>
      <c r="F1682" s="10"/>
    </row>
    <row r="1683" spans="3:6">
      <c r="C1683" s="1"/>
      <c r="E1683" s="3"/>
      <c r="F1683" s="10"/>
    </row>
    <row r="1684" spans="3:6">
      <c r="C1684" s="1"/>
      <c r="E1684" s="3"/>
      <c r="F1684" s="10"/>
    </row>
    <row r="1685" spans="3:6">
      <c r="C1685" s="1"/>
      <c r="E1685" s="3"/>
      <c r="F1685" s="10"/>
    </row>
    <row r="1686" spans="3:6">
      <c r="C1686" s="1"/>
      <c r="E1686" s="3"/>
      <c r="F1686" s="10"/>
    </row>
    <row r="1687" spans="3:6">
      <c r="C1687" s="1"/>
      <c r="E1687" s="3"/>
      <c r="F1687" s="10"/>
    </row>
    <row r="1688" spans="3:6">
      <c r="C1688" s="1"/>
      <c r="E1688" s="3"/>
      <c r="F1688" s="10"/>
    </row>
    <row r="1689" spans="3:6">
      <c r="C1689" s="1"/>
      <c r="E1689" s="3"/>
      <c r="F1689" s="10"/>
    </row>
    <row r="1690" spans="3:6">
      <c r="C1690" s="1"/>
      <c r="E1690" s="3"/>
      <c r="F1690" s="10"/>
    </row>
    <row r="1691" spans="3:6">
      <c r="C1691" s="1"/>
      <c r="E1691" s="3"/>
      <c r="F1691" s="10"/>
    </row>
    <row r="1692" spans="3:6">
      <c r="C1692" s="1"/>
      <c r="E1692" s="3"/>
      <c r="F1692" s="10"/>
    </row>
    <row r="1693" spans="3:6">
      <c r="C1693" s="1"/>
      <c r="E1693" s="3"/>
      <c r="F1693" s="10"/>
    </row>
    <row r="1694" spans="3:6">
      <c r="C1694" s="1"/>
      <c r="E1694" s="3"/>
      <c r="F1694" s="10"/>
    </row>
    <row r="1695" spans="3:6">
      <c r="C1695" s="1"/>
      <c r="E1695" s="3"/>
      <c r="F1695" s="10"/>
    </row>
    <row r="1696" spans="3:6">
      <c r="C1696" s="1"/>
      <c r="E1696" s="3"/>
      <c r="F1696" s="10"/>
    </row>
    <row r="1697" spans="3:6">
      <c r="C1697" s="1"/>
      <c r="E1697" s="3"/>
      <c r="F1697" s="10"/>
    </row>
    <row r="1698" spans="3:6">
      <c r="C1698" s="1"/>
      <c r="E1698" s="3"/>
      <c r="F1698" s="10"/>
    </row>
    <row r="1699" spans="3:6">
      <c r="C1699" s="1"/>
      <c r="E1699" s="3"/>
      <c r="F1699" s="10"/>
    </row>
    <row r="1700" spans="3:6">
      <c r="C1700" s="1"/>
      <c r="E1700" s="3"/>
      <c r="F1700" s="10"/>
    </row>
    <row r="1701" spans="3:6">
      <c r="C1701" s="1"/>
      <c r="E1701" s="3"/>
      <c r="F1701" s="10"/>
    </row>
    <row r="1702" spans="3:6">
      <c r="C1702" s="1"/>
      <c r="E1702" s="3"/>
      <c r="F1702" s="10"/>
    </row>
    <row r="1703" spans="3:6">
      <c r="C1703" s="1"/>
      <c r="E1703" s="3"/>
      <c r="F1703" s="10"/>
    </row>
    <row r="1704" spans="3:6">
      <c r="C1704" s="1"/>
      <c r="E1704" s="3"/>
      <c r="F1704" s="10"/>
    </row>
    <row r="1705" spans="3:6">
      <c r="C1705" s="1"/>
      <c r="E1705" s="3"/>
      <c r="F1705" s="10"/>
    </row>
    <row r="1706" spans="3:6">
      <c r="C1706" s="1"/>
      <c r="E1706" s="3"/>
      <c r="F1706" s="10"/>
    </row>
    <row r="1707" spans="3:6">
      <c r="C1707" s="1"/>
      <c r="E1707" s="3"/>
      <c r="F1707" s="10"/>
    </row>
    <row r="1708" spans="3:6">
      <c r="C1708" s="1"/>
      <c r="E1708" s="3"/>
      <c r="F1708" s="10"/>
    </row>
    <row r="1709" spans="3:6">
      <c r="C1709" s="1"/>
      <c r="E1709" s="3"/>
      <c r="F1709" s="10"/>
    </row>
    <row r="1710" spans="3:6">
      <c r="C1710" s="1"/>
      <c r="E1710" s="3"/>
      <c r="F1710" s="10"/>
    </row>
    <row r="1711" spans="3:6">
      <c r="C1711" s="1"/>
      <c r="E1711" s="3"/>
      <c r="F1711" s="10"/>
    </row>
    <row r="1712" spans="3:6">
      <c r="C1712" s="1"/>
      <c r="E1712" s="3"/>
      <c r="F1712" s="10"/>
    </row>
    <row r="1713" spans="3:6">
      <c r="C1713" s="1"/>
      <c r="E1713" s="3"/>
      <c r="F1713" s="10"/>
    </row>
    <row r="1714" spans="3:6">
      <c r="C1714" s="1"/>
      <c r="E1714" s="3"/>
      <c r="F1714" s="10"/>
    </row>
    <row r="1715" spans="3:6">
      <c r="C1715" s="1"/>
      <c r="E1715" s="3"/>
      <c r="F1715" s="10"/>
    </row>
    <row r="1716" spans="3:6">
      <c r="C1716" s="1"/>
      <c r="E1716" s="3"/>
      <c r="F1716" s="10"/>
    </row>
    <row r="1717" spans="3:6">
      <c r="C1717" s="1"/>
      <c r="E1717" s="3"/>
      <c r="F1717" s="10"/>
    </row>
    <row r="1718" spans="3:6">
      <c r="C1718" s="1"/>
      <c r="E1718" s="3"/>
      <c r="F1718" s="10"/>
    </row>
    <row r="1719" spans="3:6">
      <c r="C1719" s="1"/>
      <c r="E1719" s="3"/>
      <c r="F1719" s="10"/>
    </row>
    <row r="1720" spans="3:6">
      <c r="C1720" s="1"/>
      <c r="E1720" s="3"/>
      <c r="F1720" s="10"/>
    </row>
    <row r="1721" spans="3:6">
      <c r="C1721" s="1"/>
      <c r="E1721" s="3"/>
      <c r="F1721" s="10"/>
    </row>
    <row r="1722" spans="3:6">
      <c r="C1722" s="1"/>
      <c r="E1722" s="3"/>
      <c r="F1722" s="10"/>
    </row>
    <row r="1723" spans="3:6">
      <c r="C1723" s="1"/>
      <c r="E1723" s="3"/>
      <c r="F1723" s="10"/>
    </row>
    <row r="1724" spans="3:6">
      <c r="C1724" s="1"/>
      <c r="E1724" s="3"/>
      <c r="F1724" s="10"/>
    </row>
    <row r="1725" spans="3:6">
      <c r="C1725" s="1"/>
      <c r="E1725" s="3"/>
      <c r="F1725" s="10"/>
    </row>
    <row r="1726" spans="3:6">
      <c r="C1726" s="1"/>
      <c r="E1726" s="3"/>
      <c r="F1726" s="10"/>
    </row>
    <row r="1727" spans="3:6">
      <c r="C1727" s="1"/>
      <c r="E1727" s="3"/>
      <c r="F1727" s="10"/>
    </row>
    <row r="1728" spans="3:6">
      <c r="C1728" s="1"/>
      <c r="E1728" s="3"/>
      <c r="F1728" s="10"/>
    </row>
    <row r="1729" spans="3:6">
      <c r="C1729" s="1"/>
      <c r="E1729" s="3"/>
      <c r="F1729" s="10"/>
    </row>
    <row r="1730" spans="3:6">
      <c r="C1730" s="1"/>
      <c r="E1730" s="3"/>
      <c r="F1730" s="10"/>
    </row>
    <row r="1731" spans="3:6">
      <c r="C1731" s="1"/>
      <c r="E1731" s="3"/>
      <c r="F1731" s="10"/>
    </row>
    <row r="1732" spans="3:6">
      <c r="C1732" s="1"/>
      <c r="E1732" s="3"/>
      <c r="F1732" s="10"/>
    </row>
    <row r="1733" spans="3:6">
      <c r="C1733" s="1"/>
      <c r="E1733" s="3"/>
      <c r="F1733" s="10"/>
    </row>
    <row r="1734" spans="3:6">
      <c r="C1734" s="1"/>
      <c r="E1734" s="3"/>
      <c r="F1734" s="10"/>
    </row>
    <row r="1735" spans="3:6">
      <c r="C1735" s="1"/>
      <c r="E1735" s="3"/>
      <c r="F1735" s="10"/>
    </row>
    <row r="1736" spans="3:6">
      <c r="C1736" s="1"/>
      <c r="E1736" s="3"/>
      <c r="F1736" s="10"/>
    </row>
    <row r="1737" spans="3:6">
      <c r="C1737" s="1"/>
      <c r="E1737" s="3"/>
      <c r="F1737" s="10"/>
    </row>
    <row r="1738" spans="3:6">
      <c r="C1738" s="1"/>
      <c r="E1738" s="3"/>
      <c r="F1738" s="10"/>
    </row>
    <row r="1739" spans="3:6">
      <c r="C1739" s="1"/>
      <c r="E1739" s="3"/>
      <c r="F1739" s="10"/>
    </row>
    <row r="1740" spans="3:6">
      <c r="C1740" s="1"/>
      <c r="E1740" s="3"/>
      <c r="F1740" s="10"/>
    </row>
    <row r="1741" spans="3:6">
      <c r="C1741" s="1"/>
      <c r="E1741" s="3"/>
      <c r="F1741" s="10"/>
    </row>
    <row r="1742" spans="3:6">
      <c r="C1742" s="1"/>
      <c r="E1742" s="3"/>
      <c r="F1742" s="10"/>
    </row>
    <row r="1743" spans="3:6">
      <c r="C1743" s="1"/>
      <c r="E1743" s="3"/>
      <c r="F1743" s="10"/>
    </row>
    <row r="1744" spans="3:6">
      <c r="C1744" s="1"/>
      <c r="E1744" s="3"/>
      <c r="F1744" s="10"/>
    </row>
    <row r="1745" spans="3:6">
      <c r="C1745" s="1"/>
      <c r="E1745" s="3"/>
      <c r="F1745" s="10"/>
    </row>
    <row r="1746" spans="3:6">
      <c r="C1746" s="1"/>
      <c r="E1746" s="3"/>
      <c r="F1746" s="10"/>
    </row>
    <row r="1747" spans="3:6">
      <c r="C1747" s="1"/>
      <c r="E1747" s="3"/>
      <c r="F1747" s="10"/>
    </row>
    <row r="1748" spans="3:6">
      <c r="C1748" s="1"/>
      <c r="E1748" s="3"/>
      <c r="F1748" s="10"/>
    </row>
    <row r="1749" spans="3:6">
      <c r="C1749" s="1"/>
      <c r="E1749" s="3"/>
      <c r="F1749" s="10"/>
    </row>
    <row r="1750" spans="3:6">
      <c r="C1750" s="1"/>
      <c r="E1750" s="3"/>
      <c r="F1750" s="10"/>
    </row>
    <row r="1751" spans="3:6">
      <c r="C1751" s="1"/>
      <c r="E1751" s="3"/>
      <c r="F1751" s="10"/>
    </row>
    <row r="1752" spans="3:6">
      <c r="C1752" s="1"/>
      <c r="E1752" s="3"/>
      <c r="F1752" s="10"/>
    </row>
    <row r="1753" spans="3:6">
      <c r="C1753" s="1"/>
      <c r="E1753" s="3"/>
      <c r="F1753" s="10"/>
    </row>
    <row r="1754" spans="3:6">
      <c r="C1754" s="1"/>
      <c r="E1754" s="3"/>
      <c r="F1754" s="10"/>
    </row>
    <row r="1755" spans="3:6">
      <c r="C1755" s="1"/>
      <c r="E1755" s="3"/>
      <c r="F1755" s="10"/>
    </row>
    <row r="1756" spans="3:6">
      <c r="C1756" s="1"/>
      <c r="E1756" s="3"/>
      <c r="F1756" s="10"/>
    </row>
    <row r="1757" spans="3:6">
      <c r="C1757" s="1"/>
      <c r="E1757" s="3"/>
      <c r="F1757" s="10"/>
    </row>
    <row r="1758" spans="3:6">
      <c r="C1758" s="1"/>
      <c r="E1758" s="3"/>
      <c r="F1758" s="10"/>
    </row>
    <row r="1759" spans="3:6">
      <c r="C1759" s="1"/>
      <c r="E1759" s="3"/>
      <c r="F1759" s="10"/>
    </row>
    <row r="1760" spans="3:6">
      <c r="C1760" s="1"/>
      <c r="E1760" s="3"/>
      <c r="F1760" s="10"/>
    </row>
    <row r="1761" spans="3:6">
      <c r="C1761" s="1"/>
      <c r="E1761" s="3"/>
      <c r="F1761" s="10"/>
    </row>
    <row r="1762" spans="3:6">
      <c r="C1762" s="1"/>
      <c r="E1762" s="3"/>
      <c r="F1762" s="10"/>
    </row>
    <row r="1763" spans="3:6">
      <c r="C1763" s="1"/>
      <c r="E1763" s="3"/>
      <c r="F1763" s="10"/>
    </row>
    <row r="1764" spans="3:6">
      <c r="C1764" s="1"/>
      <c r="E1764" s="3"/>
      <c r="F1764" s="10"/>
    </row>
    <row r="1765" spans="3:6">
      <c r="C1765" s="1"/>
      <c r="E1765" s="3"/>
      <c r="F1765" s="10"/>
    </row>
    <row r="1766" spans="3:6">
      <c r="C1766" s="1"/>
      <c r="E1766" s="3"/>
      <c r="F1766" s="10"/>
    </row>
    <row r="1767" spans="3:6">
      <c r="C1767" s="1"/>
      <c r="E1767" s="3"/>
      <c r="F1767" s="10"/>
    </row>
    <row r="1768" spans="3:6">
      <c r="C1768" s="1"/>
      <c r="E1768" s="3"/>
      <c r="F1768" s="10"/>
    </row>
    <row r="1769" spans="3:6">
      <c r="C1769" s="1"/>
      <c r="E1769" s="3"/>
      <c r="F1769" s="10"/>
    </row>
    <row r="1770" spans="3:6">
      <c r="C1770" s="1"/>
      <c r="E1770" s="3"/>
      <c r="F1770" s="10"/>
    </row>
    <row r="1771" spans="3:6">
      <c r="C1771" s="1"/>
      <c r="E1771" s="3"/>
      <c r="F1771" s="10"/>
    </row>
    <row r="1772" spans="3:6">
      <c r="C1772" s="1"/>
      <c r="E1772" s="3"/>
      <c r="F1772" s="10"/>
    </row>
    <row r="1773" spans="3:6">
      <c r="C1773" s="1"/>
      <c r="E1773" s="3"/>
      <c r="F1773" s="10"/>
    </row>
    <row r="1774" spans="3:6">
      <c r="C1774" s="1"/>
      <c r="E1774" s="3"/>
      <c r="F1774" s="10"/>
    </row>
    <row r="1775" spans="3:6">
      <c r="C1775" s="1"/>
      <c r="E1775" s="3"/>
      <c r="F1775" s="10"/>
    </row>
    <row r="1776" spans="3:6">
      <c r="C1776" s="1"/>
      <c r="E1776" s="3"/>
      <c r="F1776" s="10"/>
    </row>
    <row r="1777" spans="3:6">
      <c r="C1777" s="1"/>
      <c r="E1777" s="3"/>
      <c r="F1777" s="10"/>
    </row>
    <row r="1778" spans="3:6">
      <c r="C1778" s="1"/>
      <c r="E1778" s="3"/>
      <c r="F1778" s="10"/>
    </row>
    <row r="1779" spans="3:6">
      <c r="C1779" s="1"/>
      <c r="E1779" s="3"/>
      <c r="F1779" s="10"/>
    </row>
    <row r="1780" spans="3:6">
      <c r="C1780" s="1"/>
      <c r="E1780" s="3"/>
      <c r="F1780" s="10"/>
    </row>
    <row r="1781" spans="3:6">
      <c r="C1781" s="1"/>
      <c r="E1781" s="3"/>
      <c r="F1781" s="10"/>
    </row>
    <row r="1782" spans="3:6">
      <c r="C1782" s="1"/>
      <c r="E1782" s="3"/>
      <c r="F1782" s="10"/>
    </row>
    <row r="1783" spans="3:6">
      <c r="C1783" s="1"/>
      <c r="E1783" s="3"/>
      <c r="F1783" s="10"/>
    </row>
    <row r="1784" spans="3:6">
      <c r="C1784" s="1"/>
      <c r="E1784" s="3"/>
      <c r="F1784" s="10"/>
    </row>
    <row r="1785" spans="3:6">
      <c r="C1785" s="1"/>
      <c r="E1785" s="3"/>
      <c r="F1785" s="10"/>
    </row>
    <row r="1786" spans="3:6">
      <c r="C1786" s="1"/>
      <c r="E1786" s="3"/>
      <c r="F1786" s="10"/>
    </row>
    <row r="1787" spans="3:6">
      <c r="C1787" s="1"/>
      <c r="E1787" s="3"/>
      <c r="F1787" s="10"/>
    </row>
    <row r="1788" spans="3:6">
      <c r="C1788" s="1"/>
      <c r="E1788" s="3"/>
      <c r="F1788" s="10"/>
    </row>
    <row r="1789" spans="3:6">
      <c r="C1789" s="1"/>
      <c r="E1789" s="3"/>
      <c r="F1789" s="10"/>
    </row>
    <row r="1790" spans="3:6">
      <c r="C1790" s="1"/>
      <c r="E1790" s="3"/>
      <c r="F1790" s="10"/>
    </row>
    <row r="1791" spans="3:6">
      <c r="C1791" s="1"/>
      <c r="E1791" s="3"/>
      <c r="F1791" s="10"/>
    </row>
    <row r="1792" spans="3:6">
      <c r="C1792" s="1"/>
      <c r="E1792" s="3"/>
      <c r="F1792" s="10"/>
    </row>
    <row r="1793" spans="3:6">
      <c r="C1793" s="1"/>
      <c r="E1793" s="3"/>
      <c r="F1793" s="10"/>
    </row>
    <row r="1794" spans="3:6">
      <c r="C1794" s="1"/>
      <c r="E1794" s="3"/>
      <c r="F1794" s="10"/>
    </row>
    <row r="1795" spans="3:6">
      <c r="C1795" s="1"/>
      <c r="E1795" s="3"/>
      <c r="F1795" s="10"/>
    </row>
    <row r="1796" spans="3:6">
      <c r="C1796" s="1"/>
      <c r="E1796" s="3"/>
      <c r="F1796" s="10"/>
    </row>
    <row r="1797" spans="3:6">
      <c r="C1797" s="1"/>
      <c r="E1797" s="3"/>
      <c r="F1797" s="10"/>
    </row>
    <row r="1798" spans="3:6">
      <c r="C1798" s="1"/>
      <c r="E1798" s="3"/>
      <c r="F1798" s="10"/>
    </row>
    <row r="1799" spans="3:6">
      <c r="C1799" s="1"/>
      <c r="E1799" s="3"/>
      <c r="F1799" s="10"/>
    </row>
    <row r="1800" spans="3:6">
      <c r="C1800" s="1"/>
      <c r="E1800" s="3"/>
      <c r="F1800" s="10"/>
    </row>
    <row r="1801" spans="3:6">
      <c r="C1801" s="1"/>
      <c r="E1801" s="3"/>
      <c r="F1801" s="10"/>
    </row>
    <row r="1802" spans="3:6">
      <c r="C1802" s="1"/>
      <c r="E1802" s="3"/>
      <c r="F1802" s="10"/>
    </row>
    <row r="1803" spans="3:6">
      <c r="C1803" s="1"/>
      <c r="E1803" s="3"/>
      <c r="F1803" s="10"/>
    </row>
    <row r="1804" spans="3:6">
      <c r="C1804" s="1"/>
      <c r="E1804" s="3"/>
      <c r="F1804" s="10"/>
    </row>
    <row r="1805" spans="3:6">
      <c r="C1805" s="1"/>
      <c r="E1805" s="3"/>
      <c r="F1805" s="10"/>
    </row>
    <row r="1806" spans="3:6">
      <c r="C1806" s="1"/>
      <c r="E1806" s="3"/>
      <c r="F1806" s="10"/>
    </row>
    <row r="1807" spans="3:6">
      <c r="C1807" s="1"/>
      <c r="E1807" s="3"/>
      <c r="F1807" s="10"/>
    </row>
    <row r="1808" spans="3:6">
      <c r="C1808" s="1"/>
      <c r="E1808" s="3"/>
      <c r="F1808" s="10"/>
    </row>
    <row r="1809" spans="3:6">
      <c r="C1809" s="1"/>
      <c r="E1809" s="3"/>
      <c r="F1809" s="10"/>
    </row>
    <row r="1810" spans="3:6">
      <c r="C1810" s="1"/>
      <c r="E1810" s="3"/>
      <c r="F1810" s="10"/>
    </row>
    <row r="1811" spans="3:6">
      <c r="C1811" s="1"/>
      <c r="E1811" s="3"/>
      <c r="F1811" s="10"/>
    </row>
    <row r="1812" spans="3:6">
      <c r="C1812" s="1"/>
      <c r="E1812" s="3"/>
      <c r="F1812" s="10"/>
    </row>
    <row r="1813" spans="3:6">
      <c r="C1813" s="1"/>
      <c r="E1813" s="3"/>
      <c r="F1813" s="10"/>
    </row>
    <row r="1814" spans="3:6">
      <c r="C1814" s="1"/>
      <c r="E1814" s="3"/>
      <c r="F1814" s="10"/>
    </row>
    <row r="1815" spans="3:6">
      <c r="C1815" s="1"/>
      <c r="E1815" s="3"/>
      <c r="F1815" s="10"/>
    </row>
    <row r="1816" spans="3:6">
      <c r="C1816" s="1"/>
      <c r="E1816" s="3"/>
      <c r="F1816" s="10"/>
    </row>
    <row r="1817" spans="3:6">
      <c r="C1817" s="1"/>
      <c r="E1817" s="3"/>
      <c r="F1817" s="10"/>
    </row>
    <row r="1818" spans="3:6">
      <c r="C1818" s="1"/>
      <c r="E1818" s="3"/>
      <c r="F1818" s="10"/>
    </row>
    <row r="1819" spans="3:6">
      <c r="C1819" s="1"/>
      <c r="E1819" s="3"/>
      <c r="F1819" s="10"/>
    </row>
    <row r="1820" spans="3:6">
      <c r="C1820" s="1"/>
      <c r="E1820" s="3"/>
      <c r="F1820" s="10"/>
    </row>
    <row r="1821" spans="3:6">
      <c r="C1821" s="1"/>
      <c r="E1821" s="3"/>
      <c r="F1821" s="10"/>
    </row>
    <row r="1822" spans="3:6">
      <c r="C1822" s="1"/>
      <c r="E1822" s="3"/>
      <c r="F1822" s="10"/>
    </row>
    <row r="1823" spans="3:6">
      <c r="C1823" s="1"/>
      <c r="E1823" s="3"/>
      <c r="F1823" s="10"/>
    </row>
    <row r="1824" spans="3:6">
      <c r="C1824" s="1"/>
      <c r="E1824" s="3"/>
      <c r="F1824" s="10"/>
    </row>
    <row r="1825" spans="3:6">
      <c r="C1825" s="1"/>
      <c r="E1825" s="3"/>
      <c r="F1825" s="10"/>
    </row>
    <row r="1826" spans="3:6">
      <c r="C1826" s="1"/>
      <c r="E1826" s="3"/>
      <c r="F1826" s="10"/>
    </row>
    <row r="1827" spans="3:6">
      <c r="C1827" s="1"/>
      <c r="E1827" s="3"/>
      <c r="F1827" s="10"/>
    </row>
    <row r="1828" spans="3:6">
      <c r="C1828" s="1"/>
      <c r="E1828" s="3"/>
      <c r="F1828" s="10"/>
    </row>
    <row r="1829" spans="3:6">
      <c r="C1829" s="1"/>
      <c r="E1829" s="3"/>
      <c r="F1829" s="10"/>
    </row>
    <row r="1830" spans="3:6">
      <c r="C1830" s="1"/>
      <c r="E1830" s="3"/>
      <c r="F1830" s="10"/>
    </row>
    <row r="1831" spans="3:6">
      <c r="C1831" s="1"/>
      <c r="E1831" s="3"/>
      <c r="F1831" s="10"/>
    </row>
    <row r="1832" spans="3:6">
      <c r="C1832" s="1"/>
      <c r="E1832" s="3"/>
      <c r="F1832" s="10"/>
    </row>
    <row r="1833" spans="3:6">
      <c r="C1833" s="1"/>
      <c r="E1833" s="3"/>
      <c r="F1833" s="10"/>
    </row>
    <row r="1834" spans="3:6">
      <c r="C1834" s="1"/>
      <c r="E1834" s="3"/>
      <c r="F1834" s="10"/>
    </row>
    <row r="1835" spans="3:6">
      <c r="C1835" s="1"/>
      <c r="E1835" s="3"/>
      <c r="F1835" s="10"/>
    </row>
    <row r="1836" spans="3:6">
      <c r="C1836" s="1"/>
      <c r="E1836" s="3"/>
      <c r="F1836" s="10"/>
    </row>
    <row r="1837" spans="3:6">
      <c r="C1837" s="1"/>
      <c r="E1837" s="3"/>
      <c r="F1837" s="10"/>
    </row>
    <row r="1838" spans="3:6">
      <c r="C1838" s="1"/>
      <c r="E1838" s="3"/>
      <c r="F1838" s="10"/>
    </row>
    <row r="1839" spans="3:6">
      <c r="C1839" s="1"/>
      <c r="E1839" s="3"/>
      <c r="F1839" s="10"/>
    </row>
    <row r="1840" spans="3:6">
      <c r="C1840" s="1"/>
      <c r="E1840" s="3"/>
      <c r="F1840" s="10"/>
    </row>
    <row r="1841" spans="3:6">
      <c r="C1841" s="1"/>
      <c r="E1841" s="3"/>
      <c r="F1841" s="10"/>
    </row>
    <row r="1842" spans="3:6">
      <c r="C1842" s="1"/>
      <c r="E1842" s="3"/>
      <c r="F1842" s="10"/>
    </row>
    <row r="1843" spans="3:6">
      <c r="C1843" s="1"/>
      <c r="E1843" s="3"/>
      <c r="F1843" s="10"/>
    </row>
    <row r="1844" spans="3:6">
      <c r="C1844" s="1"/>
      <c r="E1844" s="3"/>
      <c r="F1844" s="10"/>
    </row>
    <row r="1845" spans="3:6">
      <c r="C1845" s="1"/>
      <c r="E1845" s="3"/>
      <c r="F1845" s="10"/>
    </row>
    <row r="1846" spans="3:6">
      <c r="C1846" s="1"/>
      <c r="E1846" s="3"/>
      <c r="F1846" s="10"/>
    </row>
    <row r="1847" spans="3:6">
      <c r="C1847" s="1"/>
      <c r="E1847" s="3"/>
      <c r="F1847" s="10"/>
    </row>
    <row r="1848" spans="3:6">
      <c r="C1848" s="1"/>
      <c r="E1848" s="3"/>
      <c r="F1848" s="10"/>
    </row>
    <row r="1849" spans="3:6">
      <c r="C1849" s="1"/>
      <c r="E1849" s="3"/>
      <c r="F1849" s="10"/>
    </row>
    <row r="1850" spans="3:6">
      <c r="C1850" s="1"/>
      <c r="E1850" s="3"/>
      <c r="F1850" s="10"/>
    </row>
    <row r="1851" spans="3:6">
      <c r="C1851" s="1"/>
      <c r="E1851" s="3"/>
      <c r="F1851" s="10"/>
    </row>
    <row r="1852" spans="3:6">
      <c r="C1852" s="1"/>
      <c r="E1852" s="3"/>
      <c r="F1852" s="10"/>
    </row>
    <row r="1853" spans="3:6">
      <c r="C1853" s="1"/>
      <c r="E1853" s="3"/>
      <c r="F1853" s="10"/>
    </row>
    <row r="1854" spans="3:6">
      <c r="C1854" s="1"/>
      <c r="E1854" s="3"/>
      <c r="F1854" s="10"/>
    </row>
    <row r="1855" spans="3:6">
      <c r="C1855" s="1"/>
      <c r="E1855" s="3"/>
      <c r="F1855" s="10"/>
    </row>
    <row r="1856" spans="3:6">
      <c r="C1856" s="1"/>
      <c r="E1856" s="3"/>
      <c r="F1856" s="10"/>
    </row>
    <row r="1857" spans="3:6">
      <c r="C1857" s="1"/>
      <c r="E1857" s="3"/>
      <c r="F1857" s="10"/>
    </row>
    <row r="1858" spans="3:6">
      <c r="C1858" s="1"/>
      <c r="E1858" s="3"/>
      <c r="F1858" s="10"/>
    </row>
    <row r="1859" spans="3:6">
      <c r="C1859" s="1"/>
      <c r="E1859" s="3"/>
      <c r="F1859" s="10"/>
    </row>
    <row r="1860" spans="3:6">
      <c r="C1860" s="1"/>
      <c r="E1860" s="3"/>
      <c r="F1860" s="10"/>
    </row>
    <row r="1861" spans="3:6">
      <c r="C1861" s="1"/>
      <c r="E1861" s="3"/>
      <c r="F1861" s="10"/>
    </row>
    <row r="1862" spans="3:6">
      <c r="C1862" s="1"/>
      <c r="E1862" s="3"/>
      <c r="F1862" s="10"/>
    </row>
    <row r="1863" spans="3:6">
      <c r="C1863" s="1"/>
      <c r="E1863" s="3"/>
      <c r="F1863" s="10"/>
    </row>
    <row r="1864" spans="3:6">
      <c r="C1864" s="1"/>
      <c r="E1864" s="3"/>
      <c r="F1864" s="10"/>
    </row>
    <row r="1865" spans="3:6">
      <c r="C1865" s="1"/>
      <c r="E1865" s="3"/>
      <c r="F1865" s="10"/>
    </row>
    <row r="1866" spans="3:6">
      <c r="C1866" s="1"/>
      <c r="E1866" s="3"/>
      <c r="F1866" s="10"/>
    </row>
    <row r="1867" spans="3:6">
      <c r="C1867" s="1"/>
      <c r="E1867" s="3"/>
      <c r="F1867" s="10"/>
    </row>
    <row r="1868" spans="3:6">
      <c r="C1868" s="1"/>
      <c r="E1868" s="3"/>
      <c r="F1868" s="10"/>
    </row>
    <row r="1869" spans="3:6">
      <c r="C1869" s="1"/>
      <c r="E1869" s="3"/>
      <c r="F1869" s="10"/>
    </row>
    <row r="1870" spans="3:6">
      <c r="C1870" s="1"/>
      <c r="E1870" s="3"/>
      <c r="F1870" s="10"/>
    </row>
    <row r="1871" spans="3:6">
      <c r="C1871" s="1"/>
      <c r="E1871" s="3"/>
      <c r="F1871" s="10"/>
    </row>
    <row r="1872" spans="3:6">
      <c r="C1872" s="1"/>
      <c r="E1872" s="3"/>
      <c r="F1872" s="10"/>
    </row>
    <row r="1873" spans="3:6">
      <c r="C1873" s="1"/>
      <c r="E1873" s="3"/>
      <c r="F1873" s="10"/>
    </row>
    <row r="1874" spans="3:6">
      <c r="C1874" s="1"/>
      <c r="E1874" s="3"/>
      <c r="F1874" s="10"/>
    </row>
    <row r="1875" spans="3:6">
      <c r="C1875" s="1"/>
      <c r="E1875" s="3"/>
      <c r="F1875" s="10"/>
    </row>
    <row r="1876" spans="3:6">
      <c r="C1876" s="1"/>
      <c r="E1876" s="3"/>
      <c r="F1876" s="10"/>
    </row>
    <row r="1877" spans="3:6">
      <c r="C1877" s="1"/>
      <c r="E1877" s="3"/>
      <c r="F1877" s="10"/>
    </row>
    <row r="1878" spans="3:6">
      <c r="C1878" s="1"/>
      <c r="E1878" s="3"/>
      <c r="F1878" s="10"/>
    </row>
    <row r="1879" spans="3:6">
      <c r="C1879" s="1"/>
      <c r="E1879" s="3"/>
      <c r="F1879" s="10"/>
    </row>
    <row r="1880" spans="3:6">
      <c r="C1880" s="1"/>
      <c r="E1880" s="3"/>
      <c r="F1880" s="10"/>
    </row>
    <row r="1881" spans="3:6">
      <c r="C1881" s="1"/>
      <c r="E1881" s="3"/>
      <c r="F1881" s="10"/>
    </row>
    <row r="1882" spans="3:6">
      <c r="C1882" s="1"/>
      <c r="E1882" s="3"/>
      <c r="F1882" s="10"/>
    </row>
    <row r="1883" spans="3:6">
      <c r="C1883" s="1"/>
      <c r="E1883" s="3"/>
      <c r="F1883" s="10"/>
    </row>
    <row r="1884" spans="3:6">
      <c r="C1884" s="1"/>
      <c r="E1884" s="3"/>
      <c r="F1884" s="10"/>
    </row>
    <row r="1885" spans="3:6">
      <c r="C1885" s="1"/>
      <c r="E1885" s="3"/>
      <c r="F1885" s="10"/>
    </row>
    <row r="1886" spans="3:6">
      <c r="C1886" s="1"/>
      <c r="E1886" s="3"/>
      <c r="F1886" s="10"/>
    </row>
    <row r="1887" spans="3:6">
      <c r="C1887" s="1"/>
      <c r="E1887" s="3"/>
      <c r="F1887" s="10"/>
    </row>
    <row r="1888" spans="3:6">
      <c r="C1888" s="1"/>
      <c r="E1888" s="3"/>
      <c r="F1888" s="10"/>
    </row>
    <row r="1889" spans="3:6">
      <c r="C1889" s="1"/>
      <c r="E1889" s="3"/>
      <c r="F1889" s="10"/>
    </row>
    <row r="1890" spans="3:6">
      <c r="C1890" s="1"/>
      <c r="E1890" s="3"/>
      <c r="F1890" s="10"/>
    </row>
    <row r="1891" spans="3:6">
      <c r="C1891" s="1"/>
      <c r="E1891" s="3"/>
      <c r="F1891" s="10"/>
    </row>
    <row r="1892" spans="3:6">
      <c r="C1892" s="1"/>
      <c r="E1892" s="3"/>
      <c r="F1892" s="10"/>
    </row>
    <row r="1893" spans="3:6">
      <c r="C1893" s="1"/>
      <c r="E1893" s="3"/>
      <c r="F1893" s="10"/>
    </row>
    <row r="1894" spans="3:6">
      <c r="C1894" s="1"/>
      <c r="E1894" s="3"/>
      <c r="F1894" s="10"/>
    </row>
    <row r="1895" spans="3:6">
      <c r="C1895" s="1"/>
      <c r="E1895" s="3"/>
      <c r="F1895" s="10"/>
    </row>
    <row r="1896" spans="3:6">
      <c r="C1896" s="1"/>
      <c r="E1896" s="3"/>
      <c r="F1896" s="10"/>
    </row>
    <row r="1897" spans="3:6">
      <c r="C1897" s="1"/>
      <c r="E1897" s="3"/>
      <c r="F1897" s="10"/>
    </row>
    <row r="1898" spans="3:6">
      <c r="C1898" s="1"/>
      <c r="E1898" s="3"/>
      <c r="F1898" s="10"/>
    </row>
    <row r="1899" spans="3:6">
      <c r="C1899" s="1"/>
      <c r="E1899" s="3"/>
      <c r="F1899" s="10"/>
    </row>
    <row r="1900" spans="3:6">
      <c r="C1900" s="1"/>
      <c r="E1900" s="3"/>
      <c r="F1900" s="10"/>
    </row>
    <row r="1901" spans="3:6">
      <c r="C1901" s="1"/>
      <c r="E1901" s="3"/>
      <c r="F1901" s="10"/>
    </row>
    <row r="1902" spans="3:6">
      <c r="C1902" s="1"/>
      <c r="E1902" s="3"/>
      <c r="F1902" s="10"/>
    </row>
    <row r="1903" spans="3:6">
      <c r="C1903" s="1"/>
      <c r="E1903" s="3"/>
      <c r="F1903" s="10"/>
    </row>
    <row r="1904" spans="3:6">
      <c r="C1904" s="1"/>
      <c r="E1904" s="3"/>
      <c r="F1904" s="10"/>
    </row>
    <row r="1905" spans="3:6">
      <c r="C1905" s="1"/>
      <c r="E1905" s="3"/>
      <c r="F1905" s="10"/>
    </row>
    <row r="1906" spans="3:6">
      <c r="C1906" s="1"/>
      <c r="E1906" s="3"/>
      <c r="F1906" s="10"/>
    </row>
    <row r="1907" spans="3:6">
      <c r="C1907" s="1"/>
      <c r="E1907" s="3"/>
      <c r="F1907" s="10"/>
    </row>
    <row r="1908" spans="3:6">
      <c r="C1908" s="1"/>
      <c r="E1908" s="3"/>
      <c r="F1908" s="10"/>
    </row>
    <row r="1909" spans="3:6">
      <c r="C1909" s="1"/>
      <c r="E1909" s="3"/>
      <c r="F1909" s="10"/>
    </row>
    <row r="1910" spans="3:6">
      <c r="C1910" s="1"/>
      <c r="E1910" s="3"/>
      <c r="F1910" s="10"/>
    </row>
    <row r="1911" spans="3:6">
      <c r="C1911" s="1"/>
      <c r="E1911" s="3"/>
      <c r="F1911" s="10"/>
    </row>
    <row r="1912" spans="3:6">
      <c r="C1912" s="1"/>
      <c r="E1912" s="3"/>
      <c r="F1912" s="10"/>
    </row>
    <row r="1913" spans="3:6">
      <c r="C1913" s="1"/>
      <c r="E1913" s="3"/>
      <c r="F1913" s="10"/>
    </row>
    <row r="1914" spans="3:6">
      <c r="C1914" s="1"/>
      <c r="E1914" s="3"/>
      <c r="F1914" s="10"/>
    </row>
    <row r="1915" spans="3:6">
      <c r="C1915" s="1"/>
      <c r="E1915" s="3"/>
      <c r="F1915" s="10"/>
    </row>
    <row r="1916" spans="3:6">
      <c r="C1916" s="1"/>
      <c r="E1916" s="3"/>
      <c r="F1916" s="10"/>
    </row>
    <row r="1917" spans="3:6">
      <c r="C1917" s="1"/>
      <c r="E1917" s="3"/>
      <c r="F1917" s="10"/>
    </row>
    <row r="1918" spans="3:6">
      <c r="C1918" s="1"/>
      <c r="E1918" s="3"/>
      <c r="F1918" s="10"/>
    </row>
    <row r="1919" spans="3:6">
      <c r="C1919" s="1"/>
      <c r="E1919" s="3"/>
      <c r="F1919" s="10"/>
    </row>
    <row r="1920" spans="3:6">
      <c r="C1920" s="1"/>
      <c r="E1920" s="3"/>
      <c r="F1920" s="10"/>
    </row>
    <row r="1921" spans="3:6">
      <c r="C1921" s="1"/>
      <c r="E1921" s="3"/>
      <c r="F1921" s="10"/>
    </row>
    <row r="1922" spans="3:6">
      <c r="C1922" s="1"/>
      <c r="E1922" s="3"/>
      <c r="F1922" s="10"/>
    </row>
    <row r="1923" spans="3:6">
      <c r="C1923" s="1"/>
      <c r="E1923" s="3"/>
      <c r="F1923" s="10"/>
    </row>
    <row r="1924" spans="3:6">
      <c r="C1924" s="1"/>
      <c r="E1924" s="3"/>
      <c r="F1924" s="10"/>
    </row>
    <row r="1925" spans="3:6">
      <c r="C1925" s="1"/>
      <c r="E1925" s="3"/>
      <c r="F1925" s="10"/>
    </row>
    <row r="1926" spans="3:6">
      <c r="C1926" s="1"/>
      <c r="E1926" s="3"/>
      <c r="F1926" s="10"/>
    </row>
    <row r="1927" spans="3:6">
      <c r="C1927" s="1"/>
      <c r="E1927" s="3"/>
      <c r="F1927" s="10"/>
    </row>
    <row r="1928" spans="3:6">
      <c r="C1928" s="1"/>
      <c r="E1928" s="3"/>
      <c r="F1928" s="10"/>
    </row>
    <row r="1929" spans="3:6">
      <c r="C1929" s="1"/>
      <c r="E1929" s="3"/>
      <c r="F1929" s="10"/>
    </row>
    <row r="1930" spans="3:6">
      <c r="C1930" s="1"/>
      <c r="E1930" s="3"/>
      <c r="F1930" s="10"/>
    </row>
    <row r="1931" spans="3:6">
      <c r="C1931" s="1"/>
      <c r="E1931" s="3"/>
      <c r="F1931" s="10"/>
    </row>
    <row r="1932" spans="3:6">
      <c r="C1932" s="1"/>
      <c r="E1932" s="3"/>
      <c r="F1932" s="10"/>
    </row>
    <row r="1933" spans="3:6">
      <c r="C1933" s="1"/>
      <c r="E1933" s="3"/>
      <c r="F1933" s="10"/>
    </row>
    <row r="1934" spans="3:6">
      <c r="C1934" s="1"/>
      <c r="E1934" s="3"/>
      <c r="F1934" s="10"/>
    </row>
    <row r="1935" spans="3:6">
      <c r="C1935" s="1"/>
      <c r="E1935" s="3"/>
      <c r="F1935" s="10"/>
    </row>
    <row r="1936" spans="3:6">
      <c r="C1936" s="1"/>
      <c r="E1936" s="3"/>
      <c r="F1936" s="10"/>
    </row>
    <row r="1937" spans="3:6">
      <c r="C1937" s="1"/>
      <c r="E1937" s="3"/>
      <c r="F1937" s="10"/>
    </row>
    <row r="1938" spans="3:6">
      <c r="C1938" s="1"/>
      <c r="E1938" s="3"/>
      <c r="F1938" s="10"/>
    </row>
    <row r="1939" spans="3:6">
      <c r="C1939" s="1"/>
      <c r="E1939" s="3"/>
      <c r="F1939" s="10"/>
    </row>
    <row r="1940" spans="3:6">
      <c r="C1940" s="1"/>
      <c r="E1940" s="3"/>
      <c r="F1940" s="10"/>
    </row>
    <row r="1941" spans="3:6">
      <c r="C1941" s="1"/>
      <c r="E1941" s="3"/>
      <c r="F1941" s="10"/>
    </row>
    <row r="1942" spans="3:6">
      <c r="C1942" s="1"/>
      <c r="E1942" s="3"/>
      <c r="F1942" s="10"/>
    </row>
    <row r="1943" spans="3:6">
      <c r="C1943" s="1"/>
      <c r="E1943" s="3"/>
      <c r="F1943" s="10"/>
    </row>
    <row r="1944" spans="3:6">
      <c r="C1944" s="1"/>
      <c r="E1944" s="3"/>
      <c r="F1944" s="10"/>
    </row>
    <row r="1945" spans="3:6">
      <c r="C1945" s="1"/>
      <c r="E1945" s="3"/>
      <c r="F1945" s="10"/>
    </row>
    <row r="1946" spans="3:6">
      <c r="C1946" s="1"/>
      <c r="E1946" s="3"/>
      <c r="F1946" s="10"/>
    </row>
    <row r="1947" spans="3:6">
      <c r="C1947" s="1"/>
      <c r="E1947" s="3"/>
      <c r="F1947" s="10"/>
    </row>
    <row r="1948" spans="3:6">
      <c r="C1948" s="1"/>
      <c r="E1948" s="3"/>
      <c r="F1948" s="10"/>
    </row>
    <row r="1949" spans="3:6">
      <c r="C1949" s="1"/>
      <c r="E1949" s="3"/>
      <c r="F1949" s="10"/>
    </row>
    <row r="1950" spans="3:6">
      <c r="C1950" s="1"/>
      <c r="E1950" s="3"/>
      <c r="F1950" s="10"/>
    </row>
    <row r="1951" spans="3:6">
      <c r="C1951" s="1"/>
      <c r="E1951" s="3"/>
      <c r="F1951" s="10"/>
    </row>
    <row r="1952" spans="3:6">
      <c r="C1952" s="1"/>
      <c r="E1952" s="3"/>
      <c r="F1952" s="10"/>
    </row>
    <row r="1953" spans="3:6">
      <c r="C1953" s="1"/>
      <c r="E1953" s="3"/>
      <c r="F1953" s="10"/>
    </row>
    <row r="1954" spans="3:6">
      <c r="C1954" s="1"/>
      <c r="E1954" s="3"/>
      <c r="F1954" s="10"/>
    </row>
    <row r="1955" spans="3:6">
      <c r="C1955" s="1"/>
      <c r="E1955" s="3"/>
      <c r="F1955" s="10"/>
    </row>
    <row r="1956" spans="3:6">
      <c r="C1956" s="1"/>
      <c r="E1956" s="3"/>
      <c r="F1956" s="10"/>
    </row>
    <row r="1957" spans="3:6">
      <c r="C1957" s="1"/>
      <c r="E1957" s="3"/>
      <c r="F1957" s="10"/>
    </row>
    <row r="1958" spans="3:6">
      <c r="C1958" s="1"/>
      <c r="E1958" s="3"/>
      <c r="F1958" s="10"/>
    </row>
    <row r="1959" spans="3:6">
      <c r="C1959" s="1"/>
      <c r="E1959" s="3"/>
      <c r="F1959" s="10"/>
    </row>
    <row r="1960" spans="3:6">
      <c r="C1960" s="1"/>
      <c r="E1960" s="3"/>
      <c r="F1960" s="10"/>
    </row>
    <row r="1961" spans="3:6">
      <c r="C1961" s="1"/>
      <c r="E1961" s="3"/>
      <c r="F1961" s="10"/>
    </row>
    <row r="1962" spans="3:6">
      <c r="C1962" s="1"/>
      <c r="E1962" s="3"/>
      <c r="F1962" s="10"/>
    </row>
    <row r="1963" spans="3:6">
      <c r="C1963" s="1"/>
      <c r="E1963" s="3"/>
      <c r="F1963" s="10"/>
    </row>
    <row r="1964" spans="3:6">
      <c r="C1964" s="1"/>
      <c r="E1964" s="3"/>
      <c r="F1964" s="10"/>
    </row>
    <row r="1965" spans="3:6">
      <c r="C1965" s="1"/>
      <c r="E1965" s="3"/>
      <c r="F1965" s="10"/>
    </row>
    <row r="1966" spans="3:6">
      <c r="C1966" s="1"/>
      <c r="E1966" s="3"/>
      <c r="F1966" s="10"/>
    </row>
    <row r="1967" spans="3:6">
      <c r="C1967" s="1"/>
      <c r="E1967" s="3"/>
      <c r="F1967" s="10"/>
    </row>
    <row r="1968" spans="3:6">
      <c r="C1968" s="1"/>
      <c r="E1968" s="3"/>
      <c r="F1968" s="10"/>
    </row>
    <row r="1969" spans="3:6">
      <c r="C1969" s="1"/>
      <c r="E1969" s="3"/>
      <c r="F1969" s="10"/>
    </row>
    <row r="1970" spans="3:6">
      <c r="C1970" s="1"/>
      <c r="E1970" s="3"/>
      <c r="F1970" s="10"/>
    </row>
    <row r="1971" spans="3:6">
      <c r="C1971" s="1"/>
      <c r="E1971" s="3"/>
      <c r="F1971" s="10"/>
    </row>
    <row r="1972" spans="3:6">
      <c r="C1972" s="1"/>
      <c r="E1972" s="3"/>
      <c r="F1972" s="10"/>
    </row>
    <row r="1973" spans="3:6">
      <c r="C1973" s="1"/>
      <c r="E1973" s="3"/>
      <c r="F1973" s="10"/>
    </row>
    <row r="1974" spans="3:6">
      <c r="C1974" s="1"/>
      <c r="E1974" s="3"/>
      <c r="F1974" s="10"/>
    </row>
    <row r="1975" spans="3:6">
      <c r="C1975" s="1"/>
      <c r="E1975" s="3"/>
      <c r="F1975" s="10"/>
    </row>
    <row r="1976" spans="3:6">
      <c r="C1976" s="1"/>
      <c r="E1976" s="3"/>
      <c r="F1976" s="10"/>
    </row>
    <row r="1977" spans="3:6">
      <c r="C1977" s="1"/>
      <c r="E1977" s="3"/>
      <c r="F1977" s="10"/>
    </row>
    <row r="1978" spans="3:6">
      <c r="C1978" s="1"/>
      <c r="E1978" s="3"/>
      <c r="F1978" s="10"/>
    </row>
    <row r="1979" spans="3:6">
      <c r="C1979" s="1"/>
      <c r="E1979" s="3"/>
      <c r="F1979" s="10"/>
    </row>
    <row r="1980" spans="3:6">
      <c r="C1980" s="1"/>
      <c r="E1980" s="3"/>
      <c r="F1980" s="10"/>
    </row>
    <row r="1981" spans="3:6">
      <c r="C1981" s="1"/>
      <c r="E1981" s="3"/>
      <c r="F1981" s="10"/>
    </row>
    <row r="1982" spans="3:6">
      <c r="C1982" s="1"/>
      <c r="E1982" s="3"/>
      <c r="F1982" s="10"/>
    </row>
    <row r="1983" spans="3:6">
      <c r="C1983" s="1"/>
      <c r="E1983" s="3"/>
      <c r="F1983" s="10"/>
    </row>
    <row r="1984" spans="3:6">
      <c r="C1984" s="1"/>
      <c r="E1984" s="3"/>
      <c r="F1984" s="10"/>
    </row>
    <row r="1985" spans="3:6">
      <c r="C1985" s="1"/>
      <c r="E1985" s="3"/>
      <c r="F1985" s="10"/>
    </row>
    <row r="1986" spans="3:6">
      <c r="C1986" s="1"/>
      <c r="E1986" s="3"/>
      <c r="F1986" s="10"/>
    </row>
    <row r="1987" spans="3:6">
      <c r="C1987" s="1"/>
      <c r="E1987" s="3"/>
      <c r="F1987" s="10"/>
    </row>
    <row r="1988" spans="3:6">
      <c r="C1988" s="1"/>
      <c r="E1988" s="3"/>
      <c r="F1988" s="10"/>
    </row>
    <row r="1989" spans="3:6">
      <c r="C1989" s="1"/>
      <c r="E1989" s="3"/>
      <c r="F1989" s="10"/>
    </row>
    <row r="1990" spans="3:6">
      <c r="C1990" s="1"/>
      <c r="E1990" s="3"/>
      <c r="F1990" s="10"/>
    </row>
    <row r="1991" spans="3:6">
      <c r="C1991" s="1"/>
      <c r="E1991" s="3"/>
      <c r="F1991" s="10"/>
    </row>
    <row r="1992" spans="3:6">
      <c r="C1992" s="1"/>
      <c r="E1992" s="3"/>
      <c r="F1992" s="10"/>
    </row>
    <row r="1993" spans="3:6">
      <c r="C1993" s="1"/>
      <c r="E1993" s="3"/>
      <c r="F1993" s="10"/>
    </row>
    <row r="1994" spans="3:6">
      <c r="C1994" s="1"/>
      <c r="E1994" s="3"/>
      <c r="F1994" s="10"/>
    </row>
    <row r="1995" spans="3:6">
      <c r="C1995" s="1"/>
      <c r="E1995" s="3"/>
      <c r="F1995" s="10"/>
    </row>
    <row r="1996" spans="3:6">
      <c r="C1996" s="1"/>
      <c r="E1996" s="3"/>
      <c r="F1996" s="10"/>
    </row>
    <row r="1997" spans="3:6">
      <c r="C1997" s="1"/>
      <c r="E1997" s="3"/>
      <c r="F1997" s="10"/>
    </row>
    <row r="1998" spans="3:6">
      <c r="C1998" s="1"/>
      <c r="E1998" s="3"/>
      <c r="F1998" s="10"/>
    </row>
    <row r="1999" spans="3:6">
      <c r="C1999" s="1"/>
      <c r="E1999" s="3"/>
      <c r="F1999" s="10"/>
    </row>
    <row r="2000" spans="3:6">
      <c r="C2000" s="1"/>
      <c r="E2000" s="3"/>
      <c r="F2000" s="10"/>
    </row>
    <row r="2001" spans="3:6">
      <c r="C2001" s="1"/>
      <c r="E2001" s="3"/>
      <c r="F2001" s="10"/>
    </row>
    <row r="2002" spans="3:6">
      <c r="C2002" s="1"/>
      <c r="E2002" s="3"/>
      <c r="F2002" s="10"/>
    </row>
    <row r="2003" spans="3:6">
      <c r="C2003" s="1"/>
      <c r="E2003" s="3"/>
      <c r="F2003" s="10"/>
    </row>
    <row r="2004" spans="3:6">
      <c r="C2004" s="1"/>
      <c r="E2004" s="3"/>
      <c r="F2004" s="10"/>
    </row>
    <row r="2005" spans="3:6">
      <c r="C2005" s="1"/>
      <c r="E2005" s="3"/>
      <c r="F2005" s="10"/>
    </row>
    <row r="2006" spans="3:6">
      <c r="C2006" s="1"/>
      <c r="E2006" s="3"/>
      <c r="F2006" s="10"/>
    </row>
    <row r="2007" spans="3:6">
      <c r="C2007" s="1"/>
      <c r="E2007" s="3"/>
      <c r="F2007" s="10"/>
    </row>
    <row r="2008" spans="3:6">
      <c r="C2008" s="1"/>
      <c r="E2008" s="3"/>
      <c r="F2008" s="10"/>
    </row>
    <row r="2009" spans="3:6">
      <c r="C2009" s="1"/>
      <c r="E2009" s="3"/>
      <c r="F2009" s="10"/>
    </row>
    <row r="2010" spans="3:6">
      <c r="C2010" s="1"/>
      <c r="E2010" s="3"/>
      <c r="F2010" s="10"/>
    </row>
    <row r="2011" spans="3:6">
      <c r="C2011" s="1"/>
      <c r="E2011" s="3"/>
      <c r="F2011" s="10"/>
    </row>
    <row r="2012" spans="3:6">
      <c r="C2012" s="1"/>
      <c r="E2012" s="3"/>
      <c r="F2012" s="10"/>
    </row>
    <row r="2013" spans="3:6">
      <c r="C2013" s="1"/>
      <c r="E2013" s="3"/>
      <c r="F2013" s="10"/>
    </row>
    <row r="2014" spans="3:6">
      <c r="C2014" s="1"/>
      <c r="E2014" s="3"/>
      <c r="F2014" s="10"/>
    </row>
    <row r="2015" spans="3:6">
      <c r="C2015" s="1"/>
      <c r="E2015" s="3"/>
      <c r="F2015" s="10"/>
    </row>
    <row r="2016" spans="3:6">
      <c r="C2016" s="1"/>
      <c r="E2016" s="3"/>
      <c r="F2016" s="10"/>
    </row>
    <row r="2017" spans="3:6">
      <c r="C2017" s="1"/>
      <c r="E2017" s="3"/>
      <c r="F2017" s="10"/>
    </row>
    <row r="2018" spans="3:6">
      <c r="C2018" s="1"/>
      <c r="E2018" s="3"/>
      <c r="F2018" s="10"/>
    </row>
    <row r="2019" spans="3:6">
      <c r="C2019" s="1"/>
      <c r="E2019" s="3"/>
      <c r="F2019" s="10"/>
    </row>
    <row r="2020" spans="3:6">
      <c r="C2020" s="1"/>
      <c r="E2020" s="3"/>
      <c r="F2020" s="10"/>
    </row>
    <row r="2021" spans="3:6">
      <c r="C2021" s="1"/>
      <c r="E2021" s="3"/>
      <c r="F2021" s="10"/>
    </row>
    <row r="2022" spans="3:6">
      <c r="C2022" s="1"/>
      <c r="E2022" s="3"/>
      <c r="F2022" s="10"/>
    </row>
    <row r="2023" spans="3:6">
      <c r="C2023" s="1"/>
      <c r="E2023" s="3"/>
      <c r="F2023" s="10"/>
    </row>
    <row r="2024" spans="3:6">
      <c r="C2024" s="1"/>
      <c r="E2024" s="3"/>
      <c r="F2024" s="10"/>
    </row>
    <row r="2025" spans="3:6">
      <c r="C2025" s="1"/>
      <c r="E2025" s="3"/>
      <c r="F2025" s="10"/>
    </row>
    <row r="2026" spans="3:6">
      <c r="C2026" s="1"/>
      <c r="E2026" s="3"/>
      <c r="F2026" s="10"/>
    </row>
    <row r="2027" spans="3:6">
      <c r="C2027" s="1"/>
      <c r="E2027" s="3"/>
      <c r="F2027" s="10"/>
    </row>
    <row r="2028" spans="3:6">
      <c r="C2028" s="1"/>
      <c r="E2028" s="3"/>
      <c r="F2028" s="10"/>
    </row>
    <row r="2029" spans="3:6">
      <c r="C2029" s="1"/>
      <c r="E2029" s="3"/>
      <c r="F2029" s="10"/>
    </row>
    <row r="2030" spans="3:6">
      <c r="C2030" s="1"/>
      <c r="E2030" s="3"/>
      <c r="F2030" s="10"/>
    </row>
    <row r="2031" spans="3:6">
      <c r="C2031" s="1"/>
      <c r="E2031" s="3"/>
      <c r="F2031" s="10"/>
    </row>
    <row r="2032" spans="3:6">
      <c r="C2032" s="1"/>
      <c r="E2032" s="3"/>
      <c r="F2032" s="10"/>
    </row>
    <row r="2033" spans="3:6">
      <c r="C2033" s="1"/>
      <c r="E2033" s="3"/>
      <c r="F2033" s="10"/>
    </row>
    <row r="2034" spans="3:6">
      <c r="C2034" s="1"/>
      <c r="E2034" s="3"/>
      <c r="F2034" s="10"/>
    </row>
    <row r="2035" spans="3:6">
      <c r="C2035" s="1"/>
      <c r="E2035" s="3"/>
      <c r="F2035" s="10"/>
    </row>
    <row r="2036" spans="3:6">
      <c r="C2036" s="1"/>
      <c r="E2036" s="3"/>
      <c r="F2036" s="10"/>
    </row>
    <row r="2037" spans="3:6">
      <c r="C2037" s="1"/>
      <c r="E2037" s="3"/>
      <c r="F2037" s="10"/>
    </row>
    <row r="2038" spans="3:6">
      <c r="C2038" s="1"/>
      <c r="E2038" s="3"/>
      <c r="F2038" s="10"/>
    </row>
    <row r="2039" spans="3:6">
      <c r="C2039" s="1"/>
      <c r="E2039" s="3"/>
      <c r="F2039" s="10"/>
    </row>
    <row r="2040" spans="3:6">
      <c r="C2040" s="1"/>
      <c r="E2040" s="3"/>
      <c r="F2040" s="10"/>
    </row>
    <row r="2041" spans="3:6">
      <c r="C2041" s="1"/>
      <c r="E2041" s="3"/>
      <c r="F2041" s="10"/>
    </row>
    <row r="2042" spans="3:6">
      <c r="C2042" s="1"/>
      <c r="E2042" s="3"/>
      <c r="F2042" s="10"/>
    </row>
    <row r="2043" spans="3:6">
      <c r="C2043" s="1"/>
      <c r="E2043" s="3"/>
      <c r="F2043" s="10"/>
    </row>
    <row r="2044" spans="3:6">
      <c r="C2044" s="1"/>
      <c r="E2044" s="3"/>
      <c r="F2044" s="10"/>
    </row>
    <row r="2045" spans="3:6">
      <c r="C2045" s="1"/>
      <c r="E2045" s="3"/>
      <c r="F2045" s="10"/>
    </row>
    <row r="2046" spans="3:6">
      <c r="C2046" s="1"/>
      <c r="E2046" s="3"/>
      <c r="F2046" s="10"/>
    </row>
    <row r="2047" spans="3:6">
      <c r="C2047" s="1"/>
      <c r="E2047" s="3"/>
      <c r="F2047" s="10"/>
    </row>
    <row r="2048" spans="3:6">
      <c r="C2048" s="1"/>
      <c r="E2048" s="3"/>
      <c r="F2048" s="10"/>
    </row>
    <row r="2049" spans="3:6">
      <c r="C2049" s="1"/>
      <c r="E2049" s="3"/>
      <c r="F2049" s="10"/>
    </row>
    <row r="2050" spans="3:6">
      <c r="C2050" s="1"/>
      <c r="E2050" s="3"/>
      <c r="F2050" s="10"/>
    </row>
    <row r="2051" spans="3:6">
      <c r="C2051" s="1"/>
      <c r="E2051" s="3"/>
      <c r="F2051" s="10"/>
    </row>
    <row r="2052" spans="3:6">
      <c r="C2052" s="1"/>
      <c r="E2052" s="3"/>
      <c r="F2052" s="10"/>
    </row>
    <row r="2053" spans="3:6">
      <c r="C2053" s="1"/>
      <c r="E2053" s="3"/>
      <c r="F2053" s="10"/>
    </row>
    <row r="2054" spans="3:6">
      <c r="C2054" s="1"/>
      <c r="E2054" s="3"/>
      <c r="F2054" s="10"/>
    </row>
    <row r="2055" spans="3:6">
      <c r="C2055" s="1"/>
      <c r="E2055" s="3"/>
      <c r="F2055" s="10"/>
    </row>
    <row r="2056" spans="3:6">
      <c r="C2056" s="1"/>
      <c r="E2056" s="3"/>
      <c r="F2056" s="10"/>
    </row>
    <row r="2057" spans="3:6">
      <c r="C2057" s="1"/>
      <c r="E2057" s="3"/>
      <c r="F2057" s="10"/>
    </row>
    <row r="2058" spans="3:6">
      <c r="C2058" s="1"/>
      <c r="E2058" s="3"/>
      <c r="F2058" s="10"/>
    </row>
    <row r="2059" spans="3:6">
      <c r="C2059" s="1"/>
      <c r="E2059" s="3"/>
      <c r="F2059" s="10"/>
    </row>
    <row r="2060" spans="3:6">
      <c r="C2060" s="1"/>
      <c r="E2060" s="3"/>
      <c r="F2060" s="10"/>
    </row>
    <row r="2061" spans="3:6">
      <c r="C2061" s="1"/>
      <c r="E2061" s="3"/>
      <c r="F2061" s="10"/>
    </row>
    <row r="2062" spans="3:6">
      <c r="C2062" s="1"/>
      <c r="E2062" s="3"/>
      <c r="F2062" s="10"/>
    </row>
    <row r="2063" spans="3:6">
      <c r="C2063" s="1"/>
      <c r="E2063" s="3"/>
      <c r="F2063" s="10"/>
    </row>
    <row r="2064" spans="3:6">
      <c r="C2064" s="1"/>
      <c r="E2064" s="3"/>
      <c r="F2064" s="10"/>
    </row>
    <row r="2065" spans="3:6">
      <c r="C2065" s="1"/>
      <c r="E2065" s="3"/>
      <c r="F2065" s="10"/>
    </row>
    <row r="2066" spans="3:6">
      <c r="C2066" s="1"/>
      <c r="E2066" s="3"/>
      <c r="F2066" s="10"/>
    </row>
    <row r="2067" spans="3:6">
      <c r="C2067" s="1"/>
      <c r="E2067" s="3"/>
      <c r="F2067" s="10"/>
    </row>
    <row r="2068" spans="3:6">
      <c r="C2068" s="1"/>
      <c r="E2068" s="3"/>
      <c r="F2068" s="10"/>
    </row>
    <row r="2069" spans="3:6">
      <c r="C2069" s="1"/>
      <c r="E2069" s="3"/>
      <c r="F2069" s="10"/>
    </row>
    <row r="2070" spans="3:6">
      <c r="C2070" s="1"/>
      <c r="E2070" s="3"/>
      <c r="F2070" s="10"/>
    </row>
    <row r="2071" spans="3:6">
      <c r="C2071" s="1"/>
      <c r="E2071" s="3"/>
      <c r="F2071" s="10"/>
    </row>
    <row r="2072" spans="3:6">
      <c r="C2072" s="1"/>
      <c r="E2072" s="3"/>
      <c r="F2072" s="10"/>
    </row>
    <row r="2073" spans="3:6">
      <c r="C2073" s="1"/>
      <c r="E2073" s="3"/>
      <c r="F2073" s="10"/>
    </row>
    <row r="2074" spans="3:6">
      <c r="C2074" s="1"/>
      <c r="E2074" s="3"/>
      <c r="F2074" s="10"/>
    </row>
    <row r="2075" spans="3:6">
      <c r="C2075" s="1"/>
      <c r="E2075" s="3"/>
      <c r="F2075" s="10"/>
    </row>
    <row r="2076" spans="3:6">
      <c r="C2076" s="1"/>
      <c r="E2076" s="3"/>
      <c r="F2076" s="10"/>
    </row>
    <row r="2077" spans="3:6">
      <c r="C2077" s="1"/>
      <c r="E2077" s="3"/>
      <c r="F2077" s="10"/>
    </row>
    <row r="2078" spans="3:6">
      <c r="C2078" s="1"/>
      <c r="E2078" s="3"/>
      <c r="F2078" s="10"/>
    </row>
    <row r="2079" spans="3:6">
      <c r="C2079" s="1"/>
      <c r="E2079" s="3"/>
      <c r="F2079" s="10"/>
    </row>
    <row r="2080" spans="3:6">
      <c r="C2080" s="1"/>
      <c r="E2080" s="3"/>
      <c r="F2080" s="10"/>
    </row>
    <row r="2081" spans="3:6">
      <c r="C2081" s="1"/>
      <c r="E2081" s="3"/>
      <c r="F2081" s="10"/>
    </row>
    <row r="2082" spans="3:6">
      <c r="C2082" s="1"/>
      <c r="E2082" s="3"/>
      <c r="F2082" s="10"/>
    </row>
    <row r="2083" spans="3:6">
      <c r="C2083" s="1"/>
      <c r="E2083" s="3"/>
      <c r="F2083" s="10"/>
    </row>
    <row r="2084" spans="3:6">
      <c r="C2084" s="1"/>
      <c r="E2084" s="3"/>
      <c r="F2084" s="10"/>
    </row>
    <row r="2085" spans="3:6">
      <c r="C2085" s="1"/>
      <c r="E2085" s="3"/>
      <c r="F2085" s="10"/>
    </row>
    <row r="2086" spans="3:6">
      <c r="C2086" s="1"/>
      <c r="E2086" s="3"/>
      <c r="F2086" s="10"/>
    </row>
    <row r="2087" spans="3:6">
      <c r="C2087" s="1"/>
      <c r="E2087" s="3"/>
      <c r="F2087" s="10"/>
    </row>
    <row r="2088" spans="3:6">
      <c r="C2088" s="1"/>
      <c r="E2088" s="3"/>
      <c r="F2088" s="10"/>
    </row>
    <row r="2089" spans="3:6">
      <c r="C2089" s="1"/>
      <c r="E2089" s="3"/>
      <c r="F2089" s="10"/>
    </row>
    <row r="2090" spans="3:6">
      <c r="C2090" s="1"/>
      <c r="E2090" s="3"/>
      <c r="F2090" s="10"/>
    </row>
    <row r="2091" spans="3:6">
      <c r="C2091" s="1"/>
      <c r="E2091" s="3"/>
      <c r="F2091" s="10"/>
    </row>
    <row r="2092" spans="3:6">
      <c r="C2092" s="1"/>
      <c r="E2092" s="3"/>
      <c r="F2092" s="10"/>
    </row>
    <row r="2093" spans="3:6">
      <c r="C2093" s="1"/>
      <c r="E2093" s="3"/>
      <c r="F2093" s="10"/>
    </row>
    <row r="2094" spans="3:6">
      <c r="C2094" s="1"/>
      <c r="E2094" s="3"/>
      <c r="F2094" s="10"/>
    </row>
    <row r="2095" spans="3:6">
      <c r="C2095" s="1"/>
      <c r="E2095" s="3"/>
      <c r="F2095" s="10"/>
    </row>
    <row r="2096" spans="3:6">
      <c r="C2096" s="1"/>
      <c r="E2096" s="3"/>
      <c r="F2096" s="10"/>
    </row>
    <row r="2097" spans="3:6">
      <c r="C2097" s="1"/>
      <c r="E2097" s="3"/>
      <c r="F2097" s="10"/>
    </row>
    <row r="2098" spans="3:6">
      <c r="C2098" s="1"/>
      <c r="E2098" s="3"/>
      <c r="F2098" s="10"/>
    </row>
    <row r="2099" spans="3:6">
      <c r="C2099" s="1"/>
      <c r="E2099" s="3"/>
      <c r="F2099" s="10"/>
    </row>
    <row r="2100" spans="3:6">
      <c r="C2100" s="1"/>
      <c r="E2100" s="3"/>
      <c r="F2100" s="10"/>
    </row>
    <row r="2101" spans="3:6">
      <c r="C2101" s="1"/>
      <c r="E2101" s="3"/>
      <c r="F2101" s="10"/>
    </row>
    <row r="2102" spans="3:6">
      <c r="C2102" s="1"/>
      <c r="E2102" s="3"/>
      <c r="F2102" s="10"/>
    </row>
    <row r="2103" spans="3:6">
      <c r="C2103" s="1"/>
      <c r="E2103" s="3"/>
      <c r="F2103" s="10"/>
    </row>
    <row r="2104" spans="3:6">
      <c r="C2104" s="1"/>
      <c r="E2104" s="3"/>
      <c r="F2104" s="10"/>
    </row>
    <row r="2105" spans="3:6">
      <c r="C2105" s="1"/>
      <c r="E2105" s="3"/>
      <c r="F2105" s="10"/>
    </row>
    <row r="2106" spans="3:6">
      <c r="C2106" s="1"/>
      <c r="E2106" s="3"/>
      <c r="F2106" s="10"/>
    </row>
    <row r="2107" spans="3:6">
      <c r="C2107" s="1"/>
      <c r="E2107" s="3"/>
      <c r="F2107" s="10"/>
    </row>
    <row r="2108" spans="3:6">
      <c r="C2108" s="1"/>
      <c r="E2108" s="3"/>
      <c r="F2108" s="10"/>
    </row>
    <row r="2109" spans="3:6">
      <c r="C2109" s="1"/>
      <c r="E2109" s="3"/>
      <c r="F2109" s="10"/>
    </row>
    <row r="2110" spans="3:6">
      <c r="C2110" s="1"/>
      <c r="E2110" s="3"/>
      <c r="F2110" s="10"/>
    </row>
    <row r="2111" spans="3:6">
      <c r="C2111" s="1"/>
      <c r="E2111" s="3"/>
      <c r="F2111" s="10"/>
    </row>
    <row r="2112" spans="3:6">
      <c r="C2112" s="1"/>
      <c r="E2112" s="3"/>
      <c r="F2112" s="10"/>
    </row>
    <row r="2113" spans="3:6">
      <c r="C2113" s="1"/>
      <c r="E2113" s="3"/>
      <c r="F2113" s="10"/>
    </row>
    <row r="2114" spans="3:6">
      <c r="C2114" s="1"/>
      <c r="E2114" s="3"/>
      <c r="F2114" s="10"/>
    </row>
    <row r="2115" spans="3:6">
      <c r="C2115" s="1"/>
      <c r="E2115" s="3"/>
      <c r="F2115" s="10"/>
    </row>
    <row r="2116" spans="3:6">
      <c r="C2116" s="1"/>
      <c r="E2116" s="3"/>
      <c r="F2116" s="10"/>
    </row>
    <row r="2117" spans="3:6">
      <c r="C2117" s="1"/>
      <c r="E2117" s="3"/>
      <c r="F2117" s="10"/>
    </row>
    <row r="2118" spans="3:6">
      <c r="C2118" s="1"/>
      <c r="E2118" s="3"/>
      <c r="F2118" s="10"/>
    </row>
    <row r="2119" spans="3:6">
      <c r="C2119" s="1"/>
      <c r="E2119" s="3"/>
      <c r="F2119" s="10"/>
    </row>
    <row r="2120" spans="3:6">
      <c r="C2120" s="1"/>
      <c r="E2120" s="3"/>
      <c r="F2120" s="10"/>
    </row>
    <row r="2121" spans="3:6">
      <c r="C2121" s="1"/>
      <c r="E2121" s="3"/>
      <c r="F2121" s="10"/>
    </row>
    <row r="2122" spans="3:6">
      <c r="C2122" s="1"/>
      <c r="E2122" s="3"/>
      <c r="F2122" s="10"/>
    </row>
    <row r="2123" spans="3:6">
      <c r="C2123" s="1"/>
      <c r="E2123" s="3"/>
      <c r="F2123" s="10"/>
    </row>
    <row r="2124" spans="3:6">
      <c r="C2124" s="1"/>
      <c r="E2124" s="3"/>
      <c r="F2124" s="10"/>
    </row>
    <row r="2125" spans="3:6">
      <c r="C2125" s="1"/>
      <c r="E2125" s="3"/>
      <c r="F2125" s="10"/>
    </row>
    <row r="2126" spans="3:6">
      <c r="C2126" s="1"/>
      <c r="E2126" s="3"/>
      <c r="F2126" s="10"/>
    </row>
    <row r="2127" spans="3:6">
      <c r="C2127" s="1"/>
      <c r="E2127" s="3"/>
      <c r="F2127" s="10"/>
    </row>
    <row r="2128" spans="3:6">
      <c r="C2128" s="1"/>
      <c r="E2128" s="3"/>
      <c r="F2128" s="10"/>
    </row>
    <row r="2129" spans="3:6">
      <c r="C2129" s="1"/>
      <c r="E2129" s="3"/>
      <c r="F2129" s="10"/>
    </row>
    <row r="2130" spans="3:6">
      <c r="C2130" s="1"/>
      <c r="E2130" s="3"/>
      <c r="F2130" s="10"/>
    </row>
    <row r="2131" spans="3:6">
      <c r="C2131" s="1"/>
      <c r="E2131" s="3"/>
      <c r="F2131" s="10"/>
    </row>
    <row r="2132" spans="3:6">
      <c r="C2132" s="1"/>
      <c r="E2132" s="3"/>
      <c r="F2132" s="10"/>
    </row>
    <row r="2133" spans="3:6">
      <c r="C2133" s="1"/>
      <c r="E2133" s="3"/>
      <c r="F2133" s="10"/>
    </row>
    <row r="2134" spans="3:6">
      <c r="C2134" s="1"/>
      <c r="E2134" s="3"/>
      <c r="F2134" s="10"/>
    </row>
    <row r="2135" spans="3:6">
      <c r="C2135" s="1"/>
      <c r="E2135" s="3"/>
      <c r="F2135" s="10"/>
    </row>
    <row r="2136" spans="3:6">
      <c r="C2136" s="1"/>
      <c r="E2136" s="3"/>
      <c r="F2136" s="10"/>
    </row>
    <row r="2137" spans="3:6">
      <c r="C2137" s="1"/>
      <c r="E2137" s="3"/>
      <c r="F2137" s="10"/>
    </row>
    <row r="2138" spans="3:6">
      <c r="C2138" s="1"/>
      <c r="E2138" s="3"/>
      <c r="F2138" s="10"/>
    </row>
    <row r="2139" spans="3:6">
      <c r="C2139" s="1"/>
      <c r="E2139" s="3"/>
      <c r="F2139" s="10"/>
    </row>
    <row r="2140" spans="3:6">
      <c r="C2140" s="1"/>
      <c r="E2140" s="3"/>
      <c r="F2140" s="10"/>
    </row>
    <row r="2141" spans="3:6">
      <c r="C2141" s="1"/>
      <c r="E2141" s="3"/>
      <c r="F2141" s="10"/>
    </row>
    <row r="2142" spans="3:6">
      <c r="C2142" s="1"/>
      <c r="E2142" s="3"/>
      <c r="F2142" s="10"/>
    </row>
    <row r="2143" spans="3:6">
      <c r="C2143" s="1"/>
      <c r="E2143" s="3"/>
      <c r="F2143" s="10"/>
    </row>
    <row r="2144" spans="3:6">
      <c r="C2144" s="1"/>
      <c r="E2144" s="3"/>
      <c r="F2144" s="10"/>
    </row>
    <row r="2145" spans="3:6">
      <c r="C2145" s="1"/>
      <c r="E2145" s="3"/>
      <c r="F2145" s="10"/>
    </row>
    <row r="2146" spans="3:6">
      <c r="C2146" s="1"/>
      <c r="E2146" s="3"/>
      <c r="F2146" s="10"/>
    </row>
    <row r="2147" spans="3:6">
      <c r="C2147" s="1"/>
      <c r="E2147" s="3"/>
      <c r="F2147" s="10"/>
    </row>
    <row r="2148" spans="3:6">
      <c r="C2148" s="1"/>
      <c r="E2148" s="3"/>
      <c r="F2148" s="10"/>
    </row>
    <row r="2149" spans="3:6">
      <c r="C2149" s="1"/>
      <c r="E2149" s="3"/>
      <c r="F2149" s="10"/>
    </row>
    <row r="2150" spans="3:6">
      <c r="C2150" s="1"/>
      <c r="E2150" s="3"/>
      <c r="F2150" s="10"/>
    </row>
    <row r="2151" spans="3:6">
      <c r="C2151" s="1"/>
      <c r="E2151" s="3"/>
      <c r="F2151" s="10"/>
    </row>
    <row r="2152" spans="3:6">
      <c r="C2152" s="1"/>
      <c r="E2152" s="3"/>
      <c r="F2152" s="10"/>
    </row>
    <row r="2153" spans="3:6">
      <c r="C2153" s="1"/>
      <c r="E2153" s="3"/>
      <c r="F2153" s="10"/>
    </row>
    <row r="2154" spans="3:6">
      <c r="C2154" s="1"/>
      <c r="E2154" s="3"/>
      <c r="F2154" s="10"/>
    </row>
    <row r="2155" spans="3:6">
      <c r="C2155" s="1"/>
      <c r="E2155" s="3"/>
      <c r="F2155" s="10"/>
    </row>
    <row r="2156" spans="3:6">
      <c r="C2156" s="1"/>
      <c r="E2156" s="3"/>
      <c r="F2156" s="10"/>
    </row>
    <row r="2157" spans="3:6">
      <c r="C2157" s="1"/>
      <c r="E2157" s="3"/>
      <c r="F2157" s="10"/>
    </row>
    <row r="2158" spans="3:6">
      <c r="C2158" s="1"/>
      <c r="E2158" s="3"/>
      <c r="F2158" s="10"/>
    </row>
    <row r="2159" spans="3:6">
      <c r="C2159" s="1"/>
      <c r="E2159" s="3"/>
      <c r="F2159" s="10"/>
    </row>
    <row r="2160" spans="3:6">
      <c r="C2160" s="1"/>
      <c r="E2160" s="3"/>
      <c r="F2160" s="10"/>
    </row>
    <row r="2161" spans="3:6">
      <c r="C2161" s="1"/>
      <c r="E2161" s="3"/>
      <c r="F2161" s="10"/>
    </row>
    <row r="2162" spans="3:6">
      <c r="C2162" s="1"/>
      <c r="E2162" s="3"/>
      <c r="F2162" s="10"/>
    </row>
    <row r="2163" spans="3:6">
      <c r="C2163" s="1"/>
      <c r="E2163" s="3"/>
      <c r="F2163" s="10"/>
    </row>
    <row r="2164" spans="3:6">
      <c r="C2164" s="1"/>
      <c r="E2164" s="3"/>
      <c r="F2164" s="10"/>
    </row>
    <row r="2165" spans="3:6">
      <c r="C2165" s="1"/>
      <c r="E2165" s="3"/>
      <c r="F2165" s="10"/>
    </row>
    <row r="2166" spans="3:6">
      <c r="C2166" s="1"/>
      <c r="E2166" s="3"/>
      <c r="F2166" s="10"/>
    </row>
    <row r="2167" spans="3:6">
      <c r="C2167" s="1"/>
      <c r="E2167" s="3"/>
      <c r="F2167" s="10"/>
    </row>
    <row r="2168" spans="3:6">
      <c r="C2168" s="1"/>
      <c r="E2168" s="3"/>
      <c r="F2168" s="10"/>
    </row>
    <row r="2169" spans="3:6">
      <c r="C2169" s="1"/>
      <c r="E2169" s="3"/>
      <c r="F2169" s="10"/>
    </row>
    <row r="2170" spans="3:6">
      <c r="C2170" s="1"/>
      <c r="E2170" s="3"/>
      <c r="F2170" s="10"/>
    </row>
    <row r="2171" spans="3:6">
      <c r="C2171" s="1"/>
      <c r="E2171" s="3"/>
      <c r="F2171" s="10"/>
    </row>
    <row r="2172" spans="3:6">
      <c r="C2172" s="1"/>
      <c r="E2172" s="3"/>
      <c r="F2172" s="10"/>
    </row>
    <row r="2173" spans="3:6">
      <c r="C2173" s="1"/>
      <c r="E2173" s="3"/>
      <c r="F2173" s="10"/>
    </row>
    <row r="2174" spans="3:6">
      <c r="C2174" s="1"/>
      <c r="E2174" s="3"/>
      <c r="F2174" s="10"/>
    </row>
    <row r="2175" spans="3:6">
      <c r="C2175" s="1"/>
      <c r="E2175" s="3"/>
      <c r="F2175" s="10"/>
    </row>
    <row r="2176" spans="3:6">
      <c r="C2176" s="1"/>
      <c r="E2176" s="3"/>
      <c r="F2176" s="10"/>
    </row>
    <row r="2177" spans="3:6">
      <c r="C2177" s="1"/>
      <c r="E2177" s="3"/>
      <c r="F2177" s="10"/>
    </row>
    <row r="2178" spans="3:6">
      <c r="C2178" s="1"/>
      <c r="E2178" s="3"/>
      <c r="F2178" s="10"/>
    </row>
    <row r="2179" spans="3:6">
      <c r="C2179" s="1"/>
      <c r="E2179" s="3"/>
      <c r="F2179" s="10"/>
    </row>
    <row r="2180" spans="3:6">
      <c r="C2180" s="1"/>
      <c r="E2180" s="3"/>
      <c r="F2180" s="10"/>
    </row>
    <row r="2181" spans="3:6">
      <c r="C2181" s="1"/>
      <c r="E2181" s="3"/>
      <c r="F2181" s="10"/>
    </row>
    <row r="2182" spans="3:6">
      <c r="C2182" s="1"/>
      <c r="E2182" s="3"/>
      <c r="F2182" s="10"/>
    </row>
    <row r="2183" spans="3:6">
      <c r="C2183" s="1"/>
      <c r="E2183" s="3"/>
      <c r="F2183" s="10"/>
    </row>
    <row r="2184" spans="3:6">
      <c r="C2184" s="1"/>
      <c r="E2184" s="3"/>
      <c r="F2184" s="10"/>
    </row>
    <row r="2185" spans="3:6">
      <c r="C2185" s="1"/>
      <c r="E2185" s="3"/>
      <c r="F2185" s="10"/>
    </row>
    <row r="2186" spans="3:6">
      <c r="C2186" s="1"/>
      <c r="E2186" s="3"/>
      <c r="F2186" s="10"/>
    </row>
    <row r="2187" spans="3:6">
      <c r="C2187" s="1"/>
      <c r="E2187" s="3"/>
      <c r="F2187" s="10"/>
    </row>
    <row r="2188" spans="3:6">
      <c r="C2188" s="1"/>
      <c r="E2188" s="3"/>
      <c r="F2188" s="10"/>
    </row>
    <row r="2189" spans="3:6">
      <c r="C2189" s="1"/>
      <c r="E2189" s="3"/>
      <c r="F2189" s="10"/>
    </row>
    <row r="2190" spans="3:6">
      <c r="C2190" s="1"/>
      <c r="E2190" s="3"/>
      <c r="F2190" s="10"/>
    </row>
    <row r="2191" spans="3:6">
      <c r="C2191" s="1"/>
      <c r="E2191" s="3"/>
      <c r="F2191" s="10"/>
    </row>
    <row r="2192" spans="3:6">
      <c r="C2192" s="1"/>
      <c r="E2192" s="3"/>
      <c r="F2192" s="10"/>
    </row>
    <row r="2193" spans="3:6">
      <c r="C2193" s="1"/>
      <c r="E2193" s="3"/>
      <c r="F2193" s="10"/>
    </row>
    <row r="2194" spans="3:6">
      <c r="C2194" s="1"/>
      <c r="E2194" s="3"/>
      <c r="F2194" s="10"/>
    </row>
    <row r="2195" spans="3:6">
      <c r="C2195" s="1"/>
      <c r="E2195" s="3"/>
      <c r="F2195" s="10"/>
    </row>
    <row r="2196" spans="3:6">
      <c r="C2196" s="1"/>
      <c r="E2196" s="3"/>
      <c r="F2196" s="10"/>
    </row>
    <row r="2197" spans="3:6">
      <c r="C2197" s="1"/>
      <c r="E2197" s="3"/>
      <c r="F2197" s="10"/>
    </row>
    <row r="2198" spans="3:6">
      <c r="C2198" s="1"/>
      <c r="E2198" s="3"/>
      <c r="F2198" s="10"/>
    </row>
    <row r="2199" spans="3:6">
      <c r="C2199" s="1"/>
      <c r="E2199" s="3"/>
      <c r="F2199" s="10"/>
    </row>
    <row r="2200" spans="3:6">
      <c r="C2200" s="1"/>
      <c r="E2200" s="3"/>
      <c r="F2200" s="10"/>
    </row>
    <row r="2201" spans="3:6">
      <c r="C2201" s="1"/>
      <c r="E2201" s="3"/>
      <c r="F2201" s="10"/>
    </row>
    <row r="2202" spans="3:6">
      <c r="C2202" s="1"/>
      <c r="E2202" s="3"/>
      <c r="F2202" s="10"/>
    </row>
    <row r="2203" spans="3:6">
      <c r="C2203" s="1"/>
      <c r="E2203" s="3"/>
      <c r="F2203" s="10"/>
    </row>
    <row r="2204" spans="3:6">
      <c r="C2204" s="1"/>
      <c r="E2204" s="3"/>
      <c r="F2204" s="10"/>
    </row>
    <row r="2205" spans="3:6">
      <c r="C2205" s="1"/>
      <c r="E2205" s="3"/>
      <c r="F2205" s="10"/>
    </row>
    <row r="2206" spans="3:6">
      <c r="C2206" s="1"/>
      <c r="E2206" s="3"/>
      <c r="F2206" s="10"/>
    </row>
    <row r="2207" spans="3:6">
      <c r="C2207" s="1"/>
      <c r="E2207" s="3"/>
      <c r="F2207" s="10"/>
    </row>
    <row r="2208" spans="3:6">
      <c r="C2208" s="1"/>
      <c r="E2208" s="3"/>
      <c r="F2208" s="10"/>
    </row>
    <row r="2209" spans="3:6">
      <c r="C2209" s="1"/>
      <c r="E2209" s="3"/>
      <c r="F2209" s="10"/>
    </row>
    <row r="2210" spans="3:6">
      <c r="C2210" s="1"/>
      <c r="E2210" s="3"/>
      <c r="F2210" s="10"/>
    </row>
    <row r="2211" spans="3:6">
      <c r="C2211" s="1"/>
      <c r="E2211" s="3"/>
      <c r="F2211" s="10"/>
    </row>
    <row r="2212" spans="3:6">
      <c r="C2212" s="1"/>
      <c r="E2212" s="3"/>
      <c r="F2212" s="10"/>
    </row>
    <row r="2213" spans="3:6">
      <c r="C2213" s="1"/>
      <c r="E2213" s="3"/>
      <c r="F2213" s="10"/>
    </row>
    <row r="2214" spans="3:6">
      <c r="C2214" s="1"/>
      <c r="E2214" s="3"/>
      <c r="F2214" s="10"/>
    </row>
    <row r="2215" spans="3:6">
      <c r="C2215" s="1"/>
      <c r="E2215" s="3"/>
      <c r="F2215" s="10"/>
    </row>
    <row r="2216" spans="3:6">
      <c r="C2216" s="1"/>
      <c r="E2216" s="3"/>
      <c r="F2216" s="10"/>
    </row>
    <row r="2217" spans="3:6">
      <c r="C2217" s="1"/>
      <c r="E2217" s="3"/>
      <c r="F2217" s="10"/>
    </row>
    <row r="2218" spans="3:6">
      <c r="C2218" s="1"/>
      <c r="E2218" s="3"/>
      <c r="F2218" s="10"/>
    </row>
    <row r="2219" spans="3:6">
      <c r="C2219" s="1"/>
      <c r="E2219" s="3"/>
      <c r="F2219" s="10"/>
    </row>
    <row r="2220" spans="3:6">
      <c r="C2220" s="1"/>
      <c r="E2220" s="3"/>
      <c r="F2220" s="10"/>
    </row>
    <row r="2221" spans="3:6">
      <c r="C2221" s="1"/>
      <c r="E2221" s="3"/>
      <c r="F2221" s="10"/>
    </row>
    <row r="2222" spans="3:6">
      <c r="C2222" s="1"/>
      <c r="E2222" s="3"/>
      <c r="F2222" s="10"/>
    </row>
    <row r="2223" spans="3:6">
      <c r="C2223" s="1"/>
      <c r="E2223" s="3"/>
      <c r="F2223" s="10"/>
    </row>
    <row r="2224" spans="3:6">
      <c r="C2224" s="1"/>
      <c r="E2224" s="3"/>
      <c r="F2224" s="10"/>
    </row>
    <row r="2225" spans="3:6">
      <c r="C2225" s="1"/>
      <c r="E2225" s="3"/>
      <c r="F2225" s="10"/>
    </row>
    <row r="2226" spans="3:6">
      <c r="C2226" s="1"/>
      <c r="E2226" s="3"/>
      <c r="F2226" s="10"/>
    </row>
    <row r="2227" spans="3:6">
      <c r="C2227" s="1"/>
      <c r="E2227" s="3"/>
      <c r="F2227" s="10"/>
    </row>
    <row r="2228" spans="3:6">
      <c r="C2228" s="1"/>
      <c r="E2228" s="3"/>
      <c r="F2228" s="10"/>
    </row>
    <row r="2229" spans="3:6">
      <c r="C2229" s="1"/>
      <c r="E2229" s="3"/>
      <c r="F2229" s="10"/>
    </row>
    <row r="2230" spans="3:6">
      <c r="C2230" s="1"/>
      <c r="E2230" s="3"/>
      <c r="F2230" s="10"/>
    </row>
    <row r="2231" spans="3:6">
      <c r="C2231" s="1"/>
      <c r="E2231" s="3"/>
      <c r="F2231" s="10"/>
    </row>
    <row r="2232" spans="3:6">
      <c r="C2232" s="1"/>
      <c r="E2232" s="3"/>
      <c r="F2232" s="10"/>
    </row>
    <row r="2233" spans="3:6">
      <c r="C2233" s="1"/>
      <c r="E2233" s="3"/>
      <c r="F2233" s="10"/>
    </row>
    <row r="2234" spans="3:6">
      <c r="C2234" s="1"/>
      <c r="E2234" s="3"/>
      <c r="F2234" s="10"/>
    </row>
    <row r="2235" spans="3:6">
      <c r="C2235" s="1"/>
      <c r="E2235" s="3"/>
      <c r="F2235" s="10"/>
    </row>
    <row r="2236" spans="3:6">
      <c r="C2236" s="1"/>
      <c r="E2236" s="3"/>
      <c r="F2236" s="10"/>
    </row>
    <row r="2237" spans="3:6">
      <c r="C2237" s="1"/>
      <c r="E2237" s="3"/>
      <c r="F2237" s="10"/>
    </row>
    <row r="2238" spans="3:6">
      <c r="C2238" s="1"/>
      <c r="E2238" s="3"/>
      <c r="F2238" s="10"/>
    </row>
    <row r="2239" spans="3:6">
      <c r="C2239" s="1"/>
      <c r="E2239" s="3"/>
      <c r="F2239" s="10"/>
    </row>
    <row r="2240" spans="3:6">
      <c r="C2240" s="1"/>
      <c r="E2240" s="3"/>
      <c r="F2240" s="10"/>
    </row>
    <row r="2241" spans="3:6">
      <c r="C2241" s="1"/>
      <c r="E2241" s="3"/>
      <c r="F2241" s="10"/>
    </row>
    <row r="2242" spans="3:6">
      <c r="C2242" s="1"/>
      <c r="E2242" s="3"/>
      <c r="F2242" s="10"/>
    </row>
    <row r="2243" spans="3:6">
      <c r="C2243" s="1"/>
      <c r="E2243" s="3"/>
      <c r="F2243" s="10"/>
    </row>
    <row r="2244" spans="3:6">
      <c r="C2244" s="1"/>
      <c r="E2244" s="3"/>
      <c r="F2244" s="10"/>
    </row>
    <row r="2245" spans="3:6">
      <c r="C2245" s="1"/>
      <c r="E2245" s="3"/>
      <c r="F2245" s="10"/>
    </row>
    <row r="2246" spans="3:6">
      <c r="C2246" s="1"/>
      <c r="E2246" s="3"/>
      <c r="F2246" s="10"/>
    </row>
    <row r="2247" spans="3:6">
      <c r="C2247" s="1"/>
      <c r="E2247" s="3"/>
      <c r="F2247" s="10"/>
    </row>
    <row r="2248" spans="3:6">
      <c r="C2248" s="1"/>
      <c r="E2248" s="3"/>
      <c r="F2248" s="10"/>
    </row>
    <row r="2249" spans="3:6">
      <c r="C2249" s="1"/>
      <c r="E2249" s="3"/>
      <c r="F2249" s="10"/>
    </row>
    <row r="2250" spans="3:6">
      <c r="C2250" s="1"/>
      <c r="E2250" s="3"/>
      <c r="F2250" s="10"/>
    </row>
    <row r="2251" spans="3:6">
      <c r="C2251" s="1"/>
      <c r="E2251" s="3"/>
      <c r="F2251" s="10"/>
    </row>
    <row r="2252" spans="3:6">
      <c r="C2252" s="1"/>
      <c r="E2252" s="3"/>
      <c r="F2252" s="10"/>
    </row>
    <row r="2253" spans="3:6">
      <c r="C2253" s="1"/>
      <c r="E2253" s="3"/>
      <c r="F2253" s="10"/>
    </row>
    <row r="2254" spans="3:6">
      <c r="C2254" s="1"/>
      <c r="E2254" s="3"/>
      <c r="F2254" s="10"/>
    </row>
    <row r="2255" spans="3:6">
      <c r="C2255" s="1"/>
      <c r="E2255" s="3"/>
      <c r="F2255" s="10"/>
    </row>
    <row r="2256" spans="3:6">
      <c r="C2256" s="1"/>
      <c r="E2256" s="3"/>
      <c r="F2256" s="10"/>
    </row>
    <row r="2257" spans="3:6">
      <c r="C2257" s="1"/>
      <c r="E2257" s="3"/>
      <c r="F2257" s="10"/>
    </row>
    <row r="2258" spans="3:6">
      <c r="C2258" s="1"/>
      <c r="E2258" s="3"/>
      <c r="F2258" s="10"/>
    </row>
    <row r="2259" spans="3:6">
      <c r="C2259" s="1"/>
      <c r="E2259" s="3"/>
      <c r="F2259" s="10"/>
    </row>
    <row r="2260" spans="3:6">
      <c r="C2260" s="1"/>
      <c r="E2260" s="3"/>
      <c r="F2260" s="10"/>
    </row>
    <row r="2261" spans="3:6">
      <c r="C2261" s="1"/>
      <c r="E2261" s="3"/>
      <c r="F2261" s="10"/>
    </row>
    <row r="2262" spans="3:6">
      <c r="C2262" s="1"/>
      <c r="E2262" s="3"/>
      <c r="F2262" s="10"/>
    </row>
    <row r="2263" spans="3:6">
      <c r="C2263" s="1"/>
      <c r="E2263" s="3"/>
      <c r="F2263" s="10"/>
    </row>
    <row r="2264" spans="3:6">
      <c r="C2264" s="1"/>
      <c r="E2264" s="3"/>
      <c r="F2264" s="10"/>
    </row>
    <row r="2265" spans="3:6">
      <c r="C2265" s="1"/>
      <c r="E2265" s="3"/>
      <c r="F2265" s="10"/>
    </row>
    <row r="2266" spans="3:6">
      <c r="C2266" s="1"/>
      <c r="E2266" s="3"/>
      <c r="F2266" s="10"/>
    </row>
    <row r="2267" spans="3:6">
      <c r="C2267" s="1"/>
      <c r="E2267" s="3"/>
      <c r="F2267" s="10"/>
    </row>
    <row r="2268" spans="3:6">
      <c r="C2268" s="1"/>
      <c r="E2268" s="3"/>
      <c r="F2268" s="10"/>
    </row>
    <row r="2269" spans="3:6">
      <c r="C2269" s="1"/>
      <c r="E2269" s="3"/>
      <c r="F2269" s="10"/>
    </row>
    <row r="2270" spans="3:6">
      <c r="C2270" s="1"/>
      <c r="E2270" s="3"/>
      <c r="F2270" s="10"/>
    </row>
    <row r="2271" spans="3:6">
      <c r="C2271" s="1"/>
      <c r="E2271" s="3"/>
      <c r="F2271" s="10"/>
    </row>
    <row r="2272" spans="3:6">
      <c r="C2272" s="1"/>
      <c r="E2272" s="3"/>
      <c r="F2272" s="10"/>
    </row>
    <row r="2273" spans="3:6">
      <c r="C2273" s="1"/>
      <c r="E2273" s="3"/>
      <c r="F2273" s="10"/>
    </row>
    <row r="2274" spans="3:6">
      <c r="C2274" s="1"/>
      <c r="E2274" s="3"/>
      <c r="F2274" s="10"/>
    </row>
    <row r="2275" spans="3:6">
      <c r="C2275" s="1"/>
      <c r="E2275" s="3"/>
      <c r="F2275" s="10"/>
    </row>
    <row r="2276" spans="3:6">
      <c r="C2276" s="1"/>
      <c r="E2276" s="3"/>
      <c r="F2276" s="10"/>
    </row>
    <row r="2277" spans="3:6">
      <c r="C2277" s="1"/>
      <c r="E2277" s="3"/>
      <c r="F2277" s="10"/>
    </row>
    <row r="2278" spans="3:6">
      <c r="C2278" s="1"/>
      <c r="E2278" s="3"/>
      <c r="F2278" s="10"/>
    </row>
    <row r="2279" spans="3:6">
      <c r="C2279" s="1"/>
      <c r="E2279" s="3"/>
      <c r="F2279" s="10"/>
    </row>
    <row r="2280" spans="3:6">
      <c r="C2280" s="1"/>
      <c r="E2280" s="3"/>
      <c r="F2280" s="10"/>
    </row>
    <row r="2281" spans="3:6">
      <c r="C2281" s="1"/>
      <c r="E2281" s="3"/>
      <c r="F2281" s="10"/>
    </row>
    <row r="2282" spans="3:6">
      <c r="C2282" s="1"/>
      <c r="E2282" s="3"/>
      <c r="F2282" s="10"/>
    </row>
    <row r="2283" spans="3:6">
      <c r="C2283" s="1"/>
      <c r="E2283" s="3"/>
      <c r="F2283" s="10"/>
    </row>
    <row r="2284" spans="3:6">
      <c r="C2284" s="1"/>
      <c r="E2284" s="3"/>
      <c r="F2284" s="10"/>
    </row>
    <row r="2285" spans="3:6">
      <c r="C2285" s="1"/>
      <c r="E2285" s="3"/>
      <c r="F2285" s="10"/>
    </row>
    <row r="2286" spans="3:6">
      <c r="C2286" s="1"/>
      <c r="E2286" s="3"/>
      <c r="F2286" s="10"/>
    </row>
    <row r="2287" spans="3:6">
      <c r="C2287" s="1"/>
      <c r="E2287" s="3"/>
      <c r="F2287" s="10"/>
    </row>
    <row r="2288" spans="3:6">
      <c r="C2288" s="1"/>
      <c r="E2288" s="3"/>
      <c r="F2288" s="10"/>
    </row>
    <row r="2289" spans="3:6">
      <c r="C2289" s="1"/>
      <c r="E2289" s="3"/>
      <c r="F2289" s="10"/>
    </row>
    <row r="2290" spans="3:6">
      <c r="C2290" s="1"/>
      <c r="E2290" s="3"/>
      <c r="F2290" s="10"/>
    </row>
    <row r="2291" spans="3:6">
      <c r="C2291" s="1"/>
      <c r="E2291" s="3"/>
      <c r="F2291" s="10"/>
    </row>
    <row r="2292" spans="3:6">
      <c r="C2292" s="1"/>
      <c r="E2292" s="3"/>
      <c r="F2292" s="10"/>
    </row>
    <row r="2293" spans="3:6">
      <c r="C2293" s="1"/>
      <c r="E2293" s="3"/>
      <c r="F2293" s="10"/>
    </row>
    <row r="2294" spans="3:6">
      <c r="C2294" s="1"/>
      <c r="E2294" s="3"/>
      <c r="F2294" s="10"/>
    </row>
    <row r="2295" spans="3:6">
      <c r="C2295" s="1"/>
      <c r="E2295" s="3"/>
      <c r="F2295" s="10"/>
    </row>
    <row r="2296" spans="3:6">
      <c r="C2296" s="1"/>
      <c r="E2296" s="3"/>
      <c r="F2296" s="10"/>
    </row>
    <row r="2297" spans="3:6">
      <c r="C2297" s="1"/>
      <c r="E2297" s="3"/>
      <c r="F2297" s="10"/>
    </row>
    <row r="2298" spans="3:6">
      <c r="C2298" s="1"/>
      <c r="E2298" s="3"/>
      <c r="F2298" s="10"/>
    </row>
    <row r="2299" spans="3:6">
      <c r="C2299" s="1"/>
      <c r="E2299" s="3"/>
      <c r="F2299" s="10"/>
    </row>
    <row r="2300" spans="3:6">
      <c r="C2300" s="1"/>
      <c r="E2300" s="3"/>
      <c r="F2300" s="10"/>
    </row>
    <row r="2301" spans="3:6">
      <c r="C2301" s="1"/>
      <c r="E2301" s="3"/>
      <c r="F2301" s="10"/>
    </row>
    <row r="2302" spans="3:6">
      <c r="C2302" s="1"/>
      <c r="E2302" s="3"/>
      <c r="F2302" s="10"/>
    </row>
    <row r="2303" spans="3:6">
      <c r="C2303" s="1"/>
      <c r="E2303" s="3"/>
      <c r="F2303" s="10"/>
    </row>
    <row r="2304" spans="3:6">
      <c r="C2304" s="1"/>
      <c r="E2304" s="3"/>
      <c r="F2304" s="10"/>
    </row>
    <row r="2305" spans="3:6">
      <c r="C2305" s="1"/>
      <c r="E2305" s="3"/>
      <c r="F2305" s="10"/>
    </row>
    <row r="2306" spans="3:6">
      <c r="C2306" s="1"/>
      <c r="E2306" s="3"/>
      <c r="F2306" s="10"/>
    </row>
    <row r="2307" spans="3:6">
      <c r="C2307" s="1"/>
      <c r="E2307" s="3"/>
      <c r="F2307" s="10"/>
    </row>
    <row r="2308" spans="3:6">
      <c r="C2308" s="1"/>
      <c r="E2308" s="3"/>
      <c r="F2308" s="10"/>
    </row>
    <row r="2309" spans="3:6">
      <c r="C2309" s="1"/>
      <c r="E2309" s="3"/>
      <c r="F2309" s="10"/>
    </row>
    <row r="2310" spans="3:6">
      <c r="C2310" s="1"/>
      <c r="E2310" s="3"/>
      <c r="F2310" s="10"/>
    </row>
    <row r="2311" spans="3:6">
      <c r="C2311" s="1"/>
      <c r="E2311" s="3"/>
      <c r="F2311" s="10"/>
    </row>
    <row r="2312" spans="3:6">
      <c r="C2312" s="1"/>
      <c r="E2312" s="3"/>
      <c r="F2312" s="10"/>
    </row>
    <row r="2313" spans="3:6">
      <c r="C2313" s="1"/>
      <c r="E2313" s="3"/>
      <c r="F2313" s="10"/>
    </row>
    <row r="2314" spans="3:6">
      <c r="C2314" s="1"/>
      <c r="E2314" s="3"/>
      <c r="F2314" s="10"/>
    </row>
    <row r="2315" spans="3:6">
      <c r="C2315" s="1"/>
      <c r="E2315" s="3"/>
      <c r="F2315" s="10"/>
    </row>
    <row r="2316" spans="3:6">
      <c r="C2316" s="1"/>
      <c r="E2316" s="3"/>
      <c r="F2316" s="10"/>
    </row>
    <row r="2317" spans="3:6">
      <c r="C2317" s="1"/>
      <c r="E2317" s="3"/>
      <c r="F2317" s="10"/>
    </row>
    <row r="2318" spans="3:6">
      <c r="C2318" s="1"/>
      <c r="E2318" s="3"/>
      <c r="F2318" s="10"/>
    </row>
    <row r="2319" spans="3:6">
      <c r="C2319" s="1"/>
      <c r="E2319" s="3"/>
      <c r="F2319" s="10"/>
    </row>
    <row r="2320" spans="3:6">
      <c r="C2320" s="1"/>
      <c r="E2320" s="3"/>
      <c r="F2320" s="10"/>
    </row>
    <row r="2321" spans="3:6">
      <c r="C2321" s="1"/>
      <c r="E2321" s="3"/>
      <c r="F2321" s="10"/>
    </row>
    <row r="2322" spans="3:6">
      <c r="C2322" s="1"/>
      <c r="E2322" s="3"/>
      <c r="F2322" s="10"/>
    </row>
    <row r="2323" spans="3:6">
      <c r="C2323" s="1"/>
      <c r="E2323" s="3"/>
      <c r="F2323" s="10"/>
    </row>
    <row r="2324" spans="3:6">
      <c r="C2324" s="1"/>
      <c r="E2324" s="3"/>
      <c r="F2324" s="10"/>
    </row>
    <row r="2325" spans="3:6">
      <c r="C2325" s="1"/>
      <c r="E2325" s="3"/>
      <c r="F2325" s="10"/>
    </row>
    <row r="2326" spans="3:6">
      <c r="C2326" s="1"/>
      <c r="E2326" s="3"/>
      <c r="F2326" s="10"/>
    </row>
    <row r="2327" spans="3:6">
      <c r="C2327" s="1"/>
      <c r="E2327" s="3"/>
      <c r="F2327" s="10"/>
    </row>
    <row r="2328" spans="3:6">
      <c r="C2328" s="1"/>
      <c r="E2328" s="3"/>
      <c r="F2328" s="10"/>
    </row>
    <row r="2329" spans="3:6">
      <c r="C2329" s="1"/>
      <c r="E2329" s="3"/>
      <c r="F2329" s="10"/>
    </row>
    <row r="2330" spans="3:6">
      <c r="C2330" s="1"/>
      <c r="E2330" s="3"/>
      <c r="F2330" s="10"/>
    </row>
    <row r="2331" spans="3:6">
      <c r="C2331" s="1"/>
      <c r="E2331" s="3"/>
      <c r="F2331" s="10"/>
    </row>
    <row r="2332" spans="3:6">
      <c r="C2332" s="1"/>
      <c r="E2332" s="3"/>
      <c r="F2332" s="10"/>
    </row>
    <row r="2333" spans="3:6">
      <c r="C2333" s="1"/>
      <c r="E2333" s="3"/>
      <c r="F2333" s="10"/>
    </row>
    <row r="2334" spans="3:6">
      <c r="C2334" s="1"/>
      <c r="E2334" s="3"/>
      <c r="F2334" s="10"/>
    </row>
    <row r="2335" spans="3:6">
      <c r="C2335" s="1"/>
      <c r="E2335" s="3"/>
      <c r="F2335" s="10"/>
    </row>
    <row r="2336" spans="3:6">
      <c r="C2336" s="1"/>
      <c r="E2336" s="3"/>
      <c r="F2336" s="10"/>
    </row>
    <row r="2337" spans="3:6">
      <c r="C2337" s="1"/>
      <c r="E2337" s="3"/>
      <c r="F2337" s="10"/>
    </row>
    <row r="2338" spans="3:6">
      <c r="C2338" s="1"/>
      <c r="E2338" s="3"/>
      <c r="F2338" s="10"/>
    </row>
    <row r="2339" spans="3:6">
      <c r="C2339" s="1"/>
      <c r="E2339" s="3"/>
      <c r="F2339" s="10"/>
    </row>
    <row r="2340" spans="3:6">
      <c r="C2340" s="1"/>
      <c r="E2340" s="3"/>
      <c r="F2340" s="10"/>
    </row>
    <row r="2341" spans="3:6">
      <c r="C2341" s="1"/>
      <c r="E2341" s="3"/>
      <c r="F2341" s="10"/>
    </row>
    <row r="2342" spans="3:6">
      <c r="C2342" s="1"/>
      <c r="E2342" s="3"/>
      <c r="F2342" s="10"/>
    </row>
    <row r="2343" spans="3:6">
      <c r="C2343" s="1"/>
      <c r="E2343" s="3"/>
      <c r="F2343" s="10"/>
    </row>
    <row r="2344" spans="3:6">
      <c r="C2344" s="1"/>
      <c r="E2344" s="3"/>
      <c r="F2344" s="10"/>
    </row>
    <row r="2345" spans="3:6">
      <c r="C2345" s="1"/>
      <c r="E2345" s="3"/>
      <c r="F2345" s="10"/>
    </row>
    <row r="2346" spans="3:6">
      <c r="C2346" s="1"/>
      <c r="E2346" s="3"/>
      <c r="F2346" s="10"/>
    </row>
    <row r="2347" spans="3:6">
      <c r="C2347" s="1"/>
      <c r="E2347" s="3"/>
      <c r="F2347" s="10"/>
    </row>
    <row r="2348" spans="3:6">
      <c r="C2348" s="1"/>
      <c r="E2348" s="3"/>
      <c r="F2348" s="10"/>
    </row>
    <row r="2349" spans="3:6">
      <c r="C2349" s="1"/>
      <c r="E2349" s="3"/>
      <c r="F2349" s="10"/>
    </row>
    <row r="2350" spans="3:6">
      <c r="C2350" s="1"/>
      <c r="E2350" s="3"/>
      <c r="F2350" s="10"/>
    </row>
    <row r="2351" spans="3:6">
      <c r="C2351" s="1"/>
      <c r="E2351" s="3"/>
      <c r="F2351" s="10"/>
    </row>
    <row r="2352" spans="3:6">
      <c r="C2352" s="1"/>
      <c r="E2352" s="3"/>
      <c r="F2352" s="10"/>
    </row>
    <row r="2353" spans="3:6">
      <c r="C2353" s="1"/>
      <c r="E2353" s="3"/>
      <c r="F2353" s="10"/>
    </row>
    <row r="2354" spans="3:6">
      <c r="C2354" s="1"/>
      <c r="E2354" s="3"/>
      <c r="F2354" s="10"/>
    </row>
    <row r="2355" spans="3:6">
      <c r="C2355" s="1"/>
      <c r="E2355" s="3"/>
      <c r="F2355" s="10"/>
    </row>
    <row r="2356" spans="3:6">
      <c r="C2356" s="1"/>
      <c r="E2356" s="3"/>
      <c r="F2356" s="10"/>
    </row>
    <row r="2357" spans="3:6">
      <c r="C2357" s="1"/>
      <c r="E2357" s="3"/>
      <c r="F2357" s="10"/>
    </row>
    <row r="2358" spans="3:6">
      <c r="C2358" s="1"/>
      <c r="E2358" s="3"/>
      <c r="F2358" s="10"/>
    </row>
    <row r="2359" spans="3:6">
      <c r="C2359" s="1"/>
      <c r="E2359" s="3"/>
      <c r="F2359" s="10"/>
    </row>
    <row r="2360" spans="3:6">
      <c r="C2360" s="1"/>
      <c r="E2360" s="3"/>
      <c r="F2360" s="10"/>
    </row>
    <row r="2361" spans="3:6">
      <c r="C2361" s="1"/>
      <c r="E2361" s="3"/>
      <c r="F2361" s="10"/>
    </row>
    <row r="2362" spans="3:6">
      <c r="C2362" s="1"/>
      <c r="E2362" s="3"/>
      <c r="F2362" s="10"/>
    </row>
    <row r="2363" spans="3:6">
      <c r="C2363" s="1"/>
      <c r="E2363" s="3"/>
      <c r="F2363" s="10"/>
    </row>
    <row r="2364" spans="3:6">
      <c r="C2364" s="1"/>
      <c r="E2364" s="3"/>
      <c r="F2364" s="10"/>
    </row>
    <row r="2365" spans="3:6">
      <c r="C2365" s="1"/>
      <c r="E2365" s="3"/>
      <c r="F2365" s="10"/>
    </row>
    <row r="2366" spans="3:6">
      <c r="C2366" s="1"/>
      <c r="E2366" s="3"/>
      <c r="F2366" s="10"/>
    </row>
    <row r="2367" spans="3:6">
      <c r="C2367" s="1"/>
      <c r="E2367" s="3"/>
      <c r="F2367" s="10"/>
    </row>
    <row r="2368" spans="3:6">
      <c r="C2368" s="1"/>
      <c r="E2368" s="3"/>
      <c r="F2368" s="10"/>
    </row>
    <row r="2369" spans="3:6">
      <c r="C2369" s="1"/>
      <c r="E2369" s="3"/>
      <c r="F2369" s="10"/>
    </row>
    <row r="2370" spans="3:6">
      <c r="C2370" s="1"/>
      <c r="E2370" s="3"/>
      <c r="F2370" s="10"/>
    </row>
    <row r="2371" spans="3:6">
      <c r="C2371" s="1"/>
      <c r="E2371" s="3"/>
      <c r="F2371" s="10"/>
    </row>
    <row r="2372" spans="3:6">
      <c r="C2372" s="1"/>
      <c r="E2372" s="3"/>
      <c r="F2372" s="10"/>
    </row>
    <row r="2373" spans="3:6">
      <c r="C2373" s="1"/>
      <c r="E2373" s="3"/>
      <c r="F2373" s="10"/>
    </row>
    <row r="2374" spans="3:6">
      <c r="C2374" s="1"/>
      <c r="E2374" s="3"/>
      <c r="F2374" s="10"/>
    </row>
    <row r="2375" spans="3:6">
      <c r="C2375" s="1"/>
      <c r="E2375" s="3"/>
      <c r="F2375" s="10"/>
    </row>
    <row r="2376" spans="3:6">
      <c r="C2376" s="1"/>
      <c r="E2376" s="3"/>
      <c r="F2376" s="10"/>
    </row>
    <row r="2377" spans="3:6">
      <c r="C2377" s="1"/>
      <c r="E2377" s="3"/>
      <c r="F2377" s="10"/>
    </row>
    <row r="2378" spans="3:6">
      <c r="C2378" s="1"/>
      <c r="E2378" s="3"/>
      <c r="F2378" s="10"/>
    </row>
    <row r="2379" spans="3:6">
      <c r="C2379" s="1"/>
      <c r="E2379" s="3"/>
      <c r="F2379" s="10"/>
    </row>
    <row r="2380" spans="3:6">
      <c r="C2380" s="1"/>
      <c r="E2380" s="3"/>
      <c r="F2380" s="10"/>
    </row>
    <row r="2381" spans="3:6">
      <c r="C2381" s="1"/>
      <c r="E2381" s="3"/>
      <c r="F2381" s="10"/>
    </row>
    <row r="2382" spans="3:6">
      <c r="C2382" s="1"/>
      <c r="E2382" s="3"/>
      <c r="F2382" s="10"/>
    </row>
    <row r="2383" spans="3:6">
      <c r="C2383" s="1"/>
      <c r="E2383" s="3"/>
      <c r="F2383" s="10"/>
    </row>
    <row r="2384" spans="3:6">
      <c r="C2384" s="1"/>
      <c r="E2384" s="3"/>
      <c r="F2384" s="10"/>
    </row>
    <row r="2385" spans="3:6">
      <c r="C2385" s="1"/>
      <c r="E2385" s="3"/>
      <c r="F2385" s="10"/>
    </row>
    <row r="2386" spans="3:6">
      <c r="C2386" s="1"/>
      <c r="E2386" s="3"/>
      <c r="F2386" s="10"/>
    </row>
    <row r="2387" spans="3:6">
      <c r="C2387" s="1"/>
      <c r="E2387" s="3"/>
      <c r="F2387" s="10"/>
    </row>
    <row r="2388" spans="3:6">
      <c r="C2388" s="1"/>
      <c r="E2388" s="3"/>
      <c r="F2388" s="10"/>
    </row>
    <row r="2389" spans="3:6">
      <c r="C2389" s="1"/>
      <c r="E2389" s="3"/>
      <c r="F2389" s="10"/>
    </row>
    <row r="2390" spans="3:6">
      <c r="C2390" s="1"/>
      <c r="E2390" s="3"/>
      <c r="F2390" s="10"/>
    </row>
    <row r="2391" spans="3:6">
      <c r="C2391" s="1"/>
      <c r="E2391" s="3"/>
      <c r="F2391" s="10"/>
    </row>
    <row r="2392" spans="3:6">
      <c r="C2392" s="1"/>
      <c r="E2392" s="3"/>
      <c r="F2392" s="10"/>
    </row>
    <row r="2393" spans="3:6">
      <c r="C2393" s="1"/>
      <c r="E2393" s="3"/>
      <c r="F2393" s="10"/>
    </row>
    <row r="2394" spans="3:6">
      <c r="C2394" s="1"/>
      <c r="E2394" s="3"/>
      <c r="F2394" s="10"/>
    </row>
    <row r="2395" spans="3:6">
      <c r="C2395" s="1"/>
      <c r="E2395" s="3"/>
      <c r="F2395" s="10"/>
    </row>
    <row r="2396" spans="3:6">
      <c r="C2396" s="1"/>
      <c r="E2396" s="3"/>
      <c r="F2396" s="10"/>
    </row>
    <row r="2397" spans="3:6">
      <c r="C2397" s="1"/>
      <c r="E2397" s="3"/>
      <c r="F2397" s="10"/>
    </row>
    <row r="2398" spans="3:6">
      <c r="C2398" s="1"/>
      <c r="E2398" s="3"/>
      <c r="F2398" s="10"/>
    </row>
    <row r="2399" spans="3:6">
      <c r="C2399" s="1"/>
      <c r="E2399" s="3"/>
      <c r="F2399" s="10"/>
    </row>
    <row r="2400" spans="3:6">
      <c r="C2400" s="1"/>
      <c r="E2400" s="3"/>
      <c r="F2400" s="10"/>
    </row>
    <row r="2401" spans="3:6">
      <c r="C2401" s="1"/>
      <c r="E2401" s="3"/>
      <c r="F2401" s="10"/>
    </row>
    <row r="2402" spans="3:6">
      <c r="C2402" s="1"/>
      <c r="E2402" s="3"/>
      <c r="F2402" s="10"/>
    </row>
    <row r="2403" spans="3:6">
      <c r="C2403" s="1"/>
      <c r="E2403" s="3"/>
      <c r="F2403" s="10"/>
    </row>
    <row r="2404" spans="3:6">
      <c r="C2404" s="1"/>
      <c r="E2404" s="3"/>
      <c r="F2404" s="10"/>
    </row>
    <row r="2405" spans="3:6">
      <c r="C2405" s="1"/>
      <c r="E2405" s="3"/>
      <c r="F2405" s="10"/>
    </row>
    <row r="2406" spans="3:6">
      <c r="C2406" s="1"/>
      <c r="E2406" s="3"/>
      <c r="F2406" s="10"/>
    </row>
    <row r="2407" spans="3:6">
      <c r="C2407" s="1"/>
      <c r="E2407" s="3"/>
      <c r="F2407" s="10"/>
    </row>
    <row r="2408" spans="3:6">
      <c r="C2408" s="1"/>
      <c r="E2408" s="3"/>
      <c r="F2408" s="10"/>
    </row>
    <row r="2409" spans="3:6">
      <c r="C2409" s="1"/>
      <c r="E2409" s="3"/>
      <c r="F2409" s="10"/>
    </row>
    <row r="2410" spans="3:6">
      <c r="C2410" s="1"/>
      <c r="E2410" s="3"/>
      <c r="F2410" s="10"/>
    </row>
    <row r="2411" spans="3:6">
      <c r="C2411" s="1"/>
      <c r="E2411" s="3"/>
      <c r="F2411" s="10"/>
    </row>
    <row r="2412" spans="3:6">
      <c r="C2412" s="1"/>
      <c r="E2412" s="3"/>
      <c r="F2412" s="10"/>
    </row>
    <row r="2413" spans="3:6">
      <c r="C2413" s="1"/>
      <c r="E2413" s="3"/>
      <c r="F2413" s="10"/>
    </row>
    <row r="2414" spans="3:6">
      <c r="C2414" s="1"/>
      <c r="E2414" s="3"/>
      <c r="F2414" s="10"/>
    </row>
    <row r="2415" spans="3:6">
      <c r="C2415" s="1"/>
      <c r="E2415" s="3"/>
      <c r="F2415" s="10"/>
    </row>
    <row r="2416" spans="3:6">
      <c r="C2416" s="1"/>
      <c r="E2416" s="3"/>
      <c r="F2416" s="10"/>
    </row>
    <row r="2417" spans="3:6">
      <c r="C2417" s="1"/>
      <c r="E2417" s="3"/>
      <c r="F2417" s="10"/>
    </row>
    <row r="2418" spans="3:6">
      <c r="C2418" s="1"/>
      <c r="E2418" s="3"/>
      <c r="F2418" s="10"/>
    </row>
    <row r="2419" spans="3:6">
      <c r="C2419" s="1"/>
      <c r="E2419" s="3"/>
      <c r="F2419" s="10"/>
    </row>
    <row r="2420" spans="3:6">
      <c r="C2420" s="1"/>
      <c r="E2420" s="3"/>
      <c r="F2420" s="10"/>
    </row>
    <row r="2421" spans="3:6">
      <c r="C2421" s="1"/>
      <c r="E2421" s="3"/>
      <c r="F2421" s="10"/>
    </row>
    <row r="2422" spans="3:6">
      <c r="C2422" s="1"/>
      <c r="E2422" s="3"/>
      <c r="F2422" s="10"/>
    </row>
    <row r="2423" spans="3:6">
      <c r="C2423" s="1"/>
      <c r="E2423" s="3"/>
      <c r="F2423" s="10"/>
    </row>
    <row r="2424" spans="3:6">
      <c r="C2424" s="1"/>
      <c r="E2424" s="3"/>
      <c r="F2424" s="10"/>
    </row>
    <row r="2425" spans="3:6">
      <c r="C2425" s="1"/>
      <c r="E2425" s="3"/>
      <c r="F2425" s="10"/>
    </row>
    <row r="2426" spans="3:6">
      <c r="C2426" s="1"/>
      <c r="E2426" s="3"/>
      <c r="F2426" s="10"/>
    </row>
    <row r="2427" spans="3:6">
      <c r="C2427" s="1"/>
      <c r="E2427" s="3"/>
      <c r="F2427" s="10"/>
    </row>
    <row r="2428" spans="3:6">
      <c r="C2428" s="1"/>
      <c r="E2428" s="3"/>
      <c r="F2428" s="10"/>
    </row>
    <row r="2429" spans="3:6">
      <c r="C2429" s="1"/>
      <c r="E2429" s="3"/>
      <c r="F2429" s="10"/>
    </row>
    <row r="2430" spans="3:6">
      <c r="C2430" s="1"/>
      <c r="E2430" s="3"/>
      <c r="F2430" s="10"/>
    </row>
    <row r="2431" spans="3:6">
      <c r="C2431" s="1"/>
      <c r="E2431" s="3"/>
      <c r="F2431" s="10"/>
    </row>
    <row r="2432" spans="3:6">
      <c r="C2432" s="1"/>
      <c r="E2432" s="3"/>
      <c r="F2432" s="10"/>
    </row>
    <row r="2433" spans="3:6">
      <c r="C2433" s="1"/>
      <c r="E2433" s="3"/>
      <c r="F2433" s="10"/>
    </row>
    <row r="2434" spans="3:6">
      <c r="C2434" s="1"/>
      <c r="E2434" s="3"/>
      <c r="F2434" s="10"/>
    </row>
    <row r="2435" spans="3:6">
      <c r="C2435" s="1"/>
      <c r="E2435" s="3"/>
      <c r="F2435" s="10"/>
    </row>
    <row r="2436" spans="3:6">
      <c r="C2436" s="1"/>
      <c r="E2436" s="3"/>
      <c r="F2436" s="10"/>
    </row>
    <row r="2437" spans="3:6">
      <c r="C2437" s="1"/>
      <c r="E2437" s="3"/>
      <c r="F2437" s="10"/>
    </row>
    <row r="2438" spans="3:6">
      <c r="C2438" s="1"/>
      <c r="E2438" s="3"/>
      <c r="F2438" s="10"/>
    </row>
    <row r="2439" spans="3:6">
      <c r="C2439" s="1"/>
      <c r="E2439" s="3"/>
      <c r="F2439" s="10"/>
    </row>
    <row r="2440" spans="3:6">
      <c r="C2440" s="1"/>
      <c r="E2440" s="3"/>
      <c r="F2440" s="10"/>
    </row>
    <row r="2441" spans="3:6">
      <c r="C2441" s="1"/>
      <c r="E2441" s="3"/>
      <c r="F2441" s="10"/>
    </row>
    <row r="2442" spans="3:6">
      <c r="C2442" s="1"/>
      <c r="E2442" s="3"/>
      <c r="F2442" s="10"/>
    </row>
    <row r="2443" spans="3:6">
      <c r="C2443" s="1"/>
      <c r="E2443" s="3"/>
      <c r="F2443" s="10"/>
    </row>
    <row r="2444" spans="3:6">
      <c r="C2444" s="1"/>
      <c r="E2444" s="3"/>
      <c r="F2444" s="10"/>
    </row>
    <row r="2445" spans="3:6">
      <c r="C2445" s="1"/>
      <c r="E2445" s="3"/>
      <c r="F2445" s="10"/>
    </row>
    <row r="2446" spans="3:6">
      <c r="C2446" s="1"/>
      <c r="E2446" s="3"/>
      <c r="F2446" s="10"/>
    </row>
    <row r="2447" spans="3:6">
      <c r="C2447" s="1"/>
      <c r="E2447" s="3"/>
      <c r="F2447" s="10"/>
    </row>
    <row r="2448" spans="3:6">
      <c r="C2448" s="1"/>
      <c r="E2448" s="3"/>
      <c r="F2448" s="10"/>
    </row>
    <row r="2449" spans="3:6">
      <c r="C2449" s="1"/>
      <c r="E2449" s="3"/>
      <c r="F2449" s="10"/>
    </row>
    <row r="2450" spans="3:6">
      <c r="C2450" s="1"/>
      <c r="E2450" s="3"/>
      <c r="F2450" s="10"/>
    </row>
    <row r="2451" spans="3:6">
      <c r="C2451" s="1"/>
      <c r="E2451" s="3"/>
      <c r="F2451" s="10"/>
    </row>
    <row r="2452" spans="3:6">
      <c r="C2452" s="1"/>
      <c r="E2452" s="3"/>
      <c r="F2452" s="10"/>
    </row>
    <row r="2453" spans="3:6">
      <c r="C2453" s="1"/>
      <c r="E2453" s="3"/>
      <c r="F2453" s="10"/>
    </row>
    <row r="2454" spans="3:6">
      <c r="C2454" s="1"/>
      <c r="E2454" s="3"/>
      <c r="F2454" s="10"/>
    </row>
    <row r="2455" spans="3:6">
      <c r="C2455" s="1"/>
      <c r="E2455" s="3"/>
      <c r="F2455" s="10"/>
    </row>
    <row r="2456" spans="3:6">
      <c r="C2456" s="1"/>
      <c r="E2456" s="3"/>
      <c r="F2456" s="10"/>
    </row>
    <row r="2457" spans="3:6">
      <c r="C2457" s="1"/>
      <c r="E2457" s="3"/>
      <c r="F2457" s="10"/>
    </row>
    <row r="2458" spans="3:6">
      <c r="C2458" s="1"/>
      <c r="E2458" s="3"/>
      <c r="F2458" s="10"/>
    </row>
    <row r="2459" spans="3:6">
      <c r="C2459" s="1"/>
      <c r="E2459" s="3"/>
      <c r="F2459" s="10"/>
    </row>
    <row r="2460" spans="3:6">
      <c r="C2460" s="1"/>
      <c r="E2460" s="3"/>
      <c r="F2460" s="10"/>
    </row>
    <row r="2461" spans="3:6">
      <c r="C2461" s="1"/>
      <c r="E2461" s="3"/>
      <c r="F2461" s="10"/>
    </row>
    <row r="2462" spans="3:6">
      <c r="C2462" s="1"/>
      <c r="E2462" s="3"/>
      <c r="F2462" s="10"/>
    </row>
    <row r="2463" spans="3:6">
      <c r="C2463" s="1"/>
      <c r="E2463" s="3"/>
      <c r="F2463" s="10"/>
    </row>
    <row r="2464" spans="3:6">
      <c r="C2464" s="1"/>
      <c r="E2464" s="3"/>
      <c r="F2464" s="10"/>
    </row>
    <row r="2465" spans="3:6">
      <c r="C2465" s="1"/>
      <c r="E2465" s="3"/>
      <c r="F2465" s="10"/>
    </row>
    <row r="2466" spans="3:6">
      <c r="C2466" s="1"/>
      <c r="E2466" s="3"/>
      <c r="F2466" s="10"/>
    </row>
    <row r="2467" spans="3:6">
      <c r="C2467" s="1"/>
      <c r="E2467" s="3"/>
      <c r="F2467" s="10"/>
    </row>
    <row r="2468" spans="3:6">
      <c r="C2468" s="1"/>
      <c r="E2468" s="3"/>
      <c r="F2468" s="10"/>
    </row>
    <row r="2469" spans="3:6">
      <c r="C2469" s="1"/>
      <c r="E2469" s="3"/>
      <c r="F2469" s="10"/>
    </row>
    <row r="2470" spans="3:6">
      <c r="C2470" s="1"/>
      <c r="E2470" s="3"/>
      <c r="F2470" s="10"/>
    </row>
    <row r="2471" spans="3:6">
      <c r="C2471" s="1"/>
      <c r="E2471" s="3"/>
      <c r="F2471" s="10"/>
    </row>
    <row r="2472" spans="3:6">
      <c r="C2472" s="1"/>
      <c r="E2472" s="3"/>
      <c r="F2472" s="10"/>
    </row>
    <row r="2473" spans="3:6">
      <c r="C2473" s="1"/>
      <c r="E2473" s="3"/>
      <c r="F2473" s="10"/>
    </row>
    <row r="2474" spans="3:6">
      <c r="C2474" s="1"/>
      <c r="E2474" s="3"/>
      <c r="F2474" s="10"/>
    </row>
    <row r="2475" spans="3:6">
      <c r="C2475" s="1"/>
      <c r="E2475" s="3"/>
      <c r="F2475" s="10"/>
    </row>
    <row r="2476" spans="3:6">
      <c r="C2476" s="1"/>
      <c r="E2476" s="3"/>
      <c r="F2476" s="10"/>
    </row>
    <row r="2477" spans="3:6">
      <c r="C2477" s="1"/>
      <c r="E2477" s="3"/>
      <c r="F2477" s="10"/>
    </row>
    <row r="2478" spans="3:6">
      <c r="C2478" s="1"/>
      <c r="E2478" s="3"/>
      <c r="F2478" s="10"/>
    </row>
    <row r="2479" spans="3:6">
      <c r="C2479" s="1"/>
      <c r="E2479" s="3"/>
      <c r="F2479" s="10"/>
    </row>
    <row r="2480" spans="3:6">
      <c r="C2480" s="1"/>
      <c r="E2480" s="3"/>
      <c r="F2480" s="10"/>
    </row>
    <row r="2481" spans="3:6">
      <c r="C2481" s="1"/>
      <c r="E2481" s="3"/>
      <c r="F2481" s="10"/>
    </row>
    <row r="2482" spans="3:6">
      <c r="C2482" s="1"/>
      <c r="E2482" s="3"/>
      <c r="F2482" s="10"/>
    </row>
    <row r="2483" spans="3:6">
      <c r="C2483" s="1"/>
      <c r="E2483" s="3"/>
      <c r="F2483" s="10"/>
    </row>
    <row r="2484" spans="3:6">
      <c r="C2484" s="1"/>
      <c r="E2484" s="3"/>
      <c r="F2484" s="10"/>
    </row>
    <row r="2485" spans="3:6">
      <c r="C2485" s="1"/>
      <c r="E2485" s="3"/>
      <c r="F2485" s="10"/>
    </row>
    <row r="2486" spans="3:6">
      <c r="C2486" s="1"/>
      <c r="E2486" s="3"/>
      <c r="F2486" s="10"/>
    </row>
    <row r="2487" spans="3:6">
      <c r="C2487" s="1"/>
      <c r="E2487" s="3"/>
      <c r="F2487" s="10"/>
    </row>
    <row r="2488" spans="3:6">
      <c r="C2488" s="1"/>
      <c r="E2488" s="3"/>
      <c r="F2488" s="10"/>
    </row>
    <row r="2489" spans="3:6">
      <c r="C2489" s="1"/>
      <c r="E2489" s="3"/>
      <c r="F2489" s="10"/>
    </row>
    <row r="2490" spans="3:6">
      <c r="C2490" s="1"/>
      <c r="E2490" s="3"/>
      <c r="F2490" s="10"/>
    </row>
    <row r="2491" spans="3:6">
      <c r="C2491" s="1"/>
      <c r="E2491" s="3"/>
      <c r="F2491" s="10"/>
    </row>
    <row r="2492" spans="3:6">
      <c r="C2492" s="1"/>
      <c r="E2492" s="3"/>
      <c r="F2492" s="10"/>
    </row>
    <row r="2493" spans="3:6">
      <c r="C2493" s="1"/>
      <c r="E2493" s="3"/>
      <c r="F2493" s="10"/>
    </row>
    <row r="2494" spans="3:6">
      <c r="C2494" s="1"/>
      <c r="E2494" s="3"/>
      <c r="F2494" s="10"/>
    </row>
    <row r="2495" spans="3:6">
      <c r="C2495" s="1"/>
      <c r="E2495" s="3"/>
      <c r="F2495" s="10"/>
    </row>
    <row r="2496" spans="3:6">
      <c r="C2496" s="1"/>
      <c r="E2496" s="3"/>
      <c r="F2496" s="10"/>
    </row>
    <row r="2497" spans="3:6">
      <c r="C2497" s="1"/>
      <c r="E2497" s="3"/>
      <c r="F2497" s="10"/>
    </row>
    <row r="2498" spans="3:6">
      <c r="C2498" s="1"/>
      <c r="E2498" s="3"/>
      <c r="F2498" s="10"/>
    </row>
    <row r="2499" spans="3:6">
      <c r="C2499" s="1"/>
      <c r="E2499" s="3"/>
      <c r="F2499" s="10"/>
    </row>
    <row r="2500" spans="3:6">
      <c r="C2500" s="1"/>
      <c r="E2500" s="3"/>
      <c r="F2500" s="10"/>
    </row>
    <row r="2501" spans="3:6">
      <c r="C2501" s="1"/>
      <c r="E2501" s="3"/>
      <c r="F2501" s="10"/>
    </row>
    <row r="2502" spans="3:6">
      <c r="C2502" s="1"/>
      <c r="E2502" s="3"/>
      <c r="F2502" s="10"/>
    </row>
    <row r="2503" spans="3:6">
      <c r="C2503" s="1"/>
      <c r="E2503" s="3"/>
      <c r="F2503" s="10"/>
    </row>
    <row r="2504" spans="3:6">
      <c r="C2504" s="1"/>
      <c r="E2504" s="3"/>
      <c r="F2504" s="10"/>
    </row>
    <row r="2505" spans="3:6">
      <c r="C2505" s="1"/>
      <c r="E2505" s="3"/>
      <c r="F2505" s="10"/>
    </row>
    <row r="2506" spans="3:6">
      <c r="C2506" s="1"/>
      <c r="E2506" s="3"/>
      <c r="F2506" s="10"/>
    </row>
    <row r="2507" spans="3:6">
      <c r="C2507" s="1"/>
      <c r="E2507" s="3"/>
      <c r="F2507" s="10"/>
    </row>
    <row r="2508" spans="3:6">
      <c r="C2508" s="1"/>
      <c r="E2508" s="3"/>
      <c r="F2508" s="10"/>
    </row>
    <row r="2509" spans="3:6">
      <c r="C2509" s="1"/>
      <c r="E2509" s="3"/>
      <c r="F2509" s="10"/>
    </row>
    <row r="2510" spans="3:6">
      <c r="C2510" s="1"/>
      <c r="E2510" s="3"/>
      <c r="F2510" s="10"/>
    </row>
    <row r="2511" spans="3:6">
      <c r="C2511" s="1"/>
      <c r="E2511" s="3"/>
      <c r="F2511" s="10"/>
    </row>
    <row r="2512" spans="3:6">
      <c r="C2512" s="1"/>
      <c r="E2512" s="3"/>
      <c r="F2512" s="10"/>
    </row>
    <row r="2513" spans="3:6">
      <c r="C2513" s="1"/>
      <c r="E2513" s="3"/>
      <c r="F2513" s="10"/>
    </row>
    <row r="2514" spans="3:6">
      <c r="C2514" s="1"/>
      <c r="E2514" s="3"/>
      <c r="F2514" s="10"/>
    </row>
    <row r="2515" spans="3:6">
      <c r="C2515" s="1"/>
      <c r="E2515" s="3"/>
      <c r="F2515" s="10"/>
    </row>
    <row r="2516" spans="3:6">
      <c r="C2516" s="1"/>
      <c r="E2516" s="3"/>
      <c r="F2516" s="10"/>
    </row>
    <row r="2517" spans="3:6">
      <c r="C2517" s="1"/>
      <c r="E2517" s="3"/>
      <c r="F2517" s="10"/>
    </row>
    <row r="2518" spans="3:6">
      <c r="C2518" s="1"/>
      <c r="E2518" s="3"/>
      <c r="F2518" s="10"/>
    </row>
    <row r="2519" spans="3:6">
      <c r="C2519" s="1"/>
      <c r="E2519" s="3"/>
      <c r="F2519" s="10"/>
    </row>
    <row r="2520" spans="3:6">
      <c r="C2520" s="1"/>
      <c r="E2520" s="3"/>
      <c r="F2520" s="10"/>
    </row>
    <row r="2521" spans="3:6">
      <c r="C2521" s="1"/>
      <c r="E2521" s="3"/>
      <c r="F2521" s="10"/>
    </row>
    <row r="2522" spans="3:6">
      <c r="C2522" s="1"/>
      <c r="E2522" s="3"/>
      <c r="F2522" s="10"/>
    </row>
    <row r="2523" spans="3:6">
      <c r="C2523" s="1"/>
      <c r="E2523" s="3"/>
      <c r="F2523" s="10"/>
    </row>
    <row r="2524" spans="3:6">
      <c r="C2524" s="1"/>
      <c r="E2524" s="3"/>
      <c r="F2524" s="10"/>
    </row>
    <row r="2525" spans="3:6">
      <c r="C2525" s="1"/>
      <c r="E2525" s="3"/>
      <c r="F2525" s="10"/>
    </row>
    <row r="2526" spans="3:6">
      <c r="C2526" s="1"/>
      <c r="E2526" s="3"/>
      <c r="F2526" s="10"/>
    </row>
    <row r="2527" spans="3:6">
      <c r="C2527" s="1"/>
      <c r="E2527" s="3"/>
      <c r="F2527" s="10"/>
    </row>
    <row r="2528" spans="3:6">
      <c r="C2528" s="1"/>
      <c r="E2528" s="3"/>
      <c r="F2528" s="10"/>
    </row>
    <row r="2529" spans="3:6">
      <c r="C2529" s="1"/>
      <c r="E2529" s="3"/>
      <c r="F2529" s="10"/>
    </row>
    <row r="2530" spans="3:6">
      <c r="C2530" s="1"/>
      <c r="E2530" s="3"/>
      <c r="F2530" s="10"/>
    </row>
    <row r="2531" spans="3:6">
      <c r="C2531" s="1"/>
      <c r="E2531" s="3"/>
      <c r="F2531" s="10"/>
    </row>
    <row r="2532" spans="3:6">
      <c r="C2532" s="1"/>
      <c r="E2532" s="3"/>
      <c r="F2532" s="10"/>
    </row>
    <row r="2533" spans="3:6">
      <c r="C2533" s="1"/>
      <c r="E2533" s="3"/>
      <c r="F2533" s="10"/>
    </row>
    <row r="2534" spans="3:6">
      <c r="C2534" s="1"/>
      <c r="E2534" s="3"/>
      <c r="F2534" s="10"/>
    </row>
    <row r="2535" spans="3:6">
      <c r="C2535" s="1"/>
      <c r="E2535" s="3"/>
      <c r="F2535" s="10"/>
    </row>
    <row r="2536" spans="3:6">
      <c r="C2536" s="1"/>
      <c r="E2536" s="3"/>
      <c r="F2536" s="10"/>
    </row>
    <row r="2537" spans="3:6">
      <c r="C2537" s="1"/>
      <c r="E2537" s="3"/>
      <c r="F2537" s="10"/>
    </row>
    <row r="2538" spans="3:6">
      <c r="C2538" s="1"/>
      <c r="E2538" s="3"/>
      <c r="F2538" s="10"/>
    </row>
    <row r="2539" spans="3:6">
      <c r="C2539" s="1"/>
      <c r="E2539" s="3"/>
      <c r="F2539" s="10"/>
    </row>
    <row r="2540" spans="3:6">
      <c r="C2540" s="1"/>
      <c r="E2540" s="3"/>
      <c r="F2540" s="10"/>
    </row>
    <row r="2541" spans="3:6">
      <c r="C2541" s="1"/>
      <c r="E2541" s="3"/>
      <c r="F2541" s="10"/>
    </row>
    <row r="2542" spans="3:6">
      <c r="C2542" s="1"/>
      <c r="E2542" s="3"/>
      <c r="F2542" s="10"/>
    </row>
    <row r="2543" spans="3:6">
      <c r="C2543" s="1"/>
      <c r="E2543" s="3"/>
      <c r="F2543" s="10"/>
    </row>
    <row r="2544" spans="3:6">
      <c r="C2544" s="1"/>
      <c r="E2544" s="3"/>
      <c r="F2544" s="10"/>
    </row>
    <row r="2545" spans="3:6">
      <c r="C2545" s="1"/>
      <c r="E2545" s="3"/>
      <c r="F2545" s="10"/>
    </row>
    <row r="2546" spans="3:6">
      <c r="C2546" s="1"/>
      <c r="E2546" s="3"/>
      <c r="F2546" s="10"/>
    </row>
    <row r="2547" spans="3:6">
      <c r="C2547" s="1"/>
      <c r="E2547" s="3"/>
      <c r="F2547" s="10"/>
    </row>
    <row r="2548" spans="3:6">
      <c r="C2548" s="1"/>
      <c r="E2548" s="3"/>
      <c r="F2548" s="10"/>
    </row>
    <row r="2549" spans="3:6">
      <c r="C2549" s="1"/>
      <c r="E2549" s="3"/>
      <c r="F2549" s="10"/>
    </row>
    <row r="2550" spans="3:6">
      <c r="C2550" s="1"/>
      <c r="E2550" s="3"/>
      <c r="F2550" s="10"/>
    </row>
    <row r="2551" spans="3:6">
      <c r="C2551" s="1"/>
      <c r="E2551" s="3"/>
      <c r="F2551" s="10"/>
    </row>
    <row r="2552" spans="3:6">
      <c r="C2552" s="1"/>
      <c r="E2552" s="3"/>
      <c r="F2552" s="10"/>
    </row>
    <row r="2553" spans="3:6">
      <c r="C2553" s="1"/>
      <c r="E2553" s="3"/>
      <c r="F2553" s="10"/>
    </row>
    <row r="2554" spans="3:6">
      <c r="C2554" s="1"/>
      <c r="E2554" s="3"/>
      <c r="F2554" s="10"/>
    </row>
    <row r="2555" spans="3:6">
      <c r="C2555" s="1"/>
      <c r="E2555" s="3"/>
      <c r="F2555" s="10"/>
    </row>
    <row r="2556" spans="3:6">
      <c r="C2556" s="1"/>
      <c r="E2556" s="3"/>
      <c r="F2556" s="10"/>
    </row>
    <row r="2557" spans="3:6">
      <c r="C2557" s="1"/>
      <c r="E2557" s="3"/>
      <c r="F2557" s="10"/>
    </row>
    <row r="2558" spans="3:6">
      <c r="C2558" s="1"/>
      <c r="E2558" s="3"/>
      <c r="F2558" s="10"/>
    </row>
    <row r="2559" spans="3:6">
      <c r="C2559" s="1"/>
      <c r="E2559" s="3"/>
      <c r="F2559" s="10"/>
    </row>
    <row r="2560" spans="3:6">
      <c r="C2560" s="1"/>
      <c r="E2560" s="3"/>
      <c r="F2560" s="10"/>
    </row>
    <row r="2561" spans="3:6">
      <c r="C2561" s="1"/>
      <c r="E2561" s="3"/>
      <c r="F2561" s="10"/>
    </row>
    <row r="2562" spans="3:6">
      <c r="C2562" s="1"/>
      <c r="E2562" s="3"/>
      <c r="F2562" s="10"/>
    </row>
    <row r="2563" spans="3:6">
      <c r="C2563" s="1"/>
      <c r="E2563" s="3"/>
      <c r="F2563" s="10"/>
    </row>
    <row r="2564" spans="3:6">
      <c r="C2564" s="1"/>
      <c r="E2564" s="3"/>
      <c r="F2564" s="10"/>
    </row>
    <row r="2565" spans="3:6">
      <c r="C2565" s="1"/>
      <c r="E2565" s="3"/>
      <c r="F2565" s="10"/>
    </row>
    <row r="2566" spans="3:6">
      <c r="C2566" s="1"/>
      <c r="E2566" s="3"/>
      <c r="F2566" s="10"/>
    </row>
    <row r="2567" spans="3:6">
      <c r="C2567" s="1"/>
      <c r="E2567" s="3"/>
      <c r="F2567" s="10"/>
    </row>
    <row r="2568" spans="3:6">
      <c r="C2568" s="1"/>
      <c r="E2568" s="3"/>
      <c r="F2568" s="10"/>
    </row>
    <row r="2569" spans="3:6">
      <c r="C2569" s="1"/>
      <c r="E2569" s="3"/>
      <c r="F2569" s="10"/>
    </row>
    <row r="2570" spans="3:6">
      <c r="C2570" s="1"/>
      <c r="E2570" s="3"/>
      <c r="F2570" s="10"/>
    </row>
    <row r="2571" spans="3:6">
      <c r="C2571" s="1"/>
      <c r="E2571" s="3"/>
      <c r="F2571" s="10"/>
    </row>
    <row r="2572" spans="3:6">
      <c r="C2572" s="1"/>
      <c r="E2572" s="3"/>
      <c r="F2572" s="10"/>
    </row>
    <row r="2573" spans="3:6">
      <c r="C2573" s="1"/>
      <c r="E2573" s="3"/>
      <c r="F2573" s="10"/>
    </row>
    <row r="2574" spans="3:6">
      <c r="C2574" s="1"/>
      <c r="E2574" s="3"/>
      <c r="F2574" s="10"/>
    </row>
    <row r="2575" spans="3:6">
      <c r="C2575" s="1"/>
      <c r="E2575" s="3"/>
      <c r="F2575" s="10"/>
    </row>
    <row r="2576" spans="3:6">
      <c r="C2576" s="1"/>
      <c r="E2576" s="3"/>
      <c r="F2576" s="10"/>
    </row>
    <row r="2577" spans="3:6">
      <c r="C2577" s="1"/>
      <c r="E2577" s="3"/>
      <c r="F2577" s="10"/>
    </row>
    <row r="2578" spans="3:6">
      <c r="C2578" s="1"/>
      <c r="E2578" s="3"/>
      <c r="F2578" s="10"/>
    </row>
    <row r="2579" spans="3:6">
      <c r="C2579" s="1"/>
      <c r="E2579" s="3"/>
      <c r="F2579" s="10"/>
    </row>
    <row r="2580" spans="3:6">
      <c r="C2580" s="1"/>
      <c r="E2580" s="3"/>
      <c r="F2580" s="10"/>
    </row>
    <row r="2581" spans="3:6">
      <c r="C2581" s="1"/>
      <c r="E2581" s="3"/>
      <c r="F2581" s="10"/>
    </row>
    <row r="2582" spans="3:6">
      <c r="C2582" s="1"/>
      <c r="E2582" s="3"/>
      <c r="F2582" s="10"/>
    </row>
    <row r="2583" spans="3:6">
      <c r="C2583" s="1"/>
      <c r="E2583" s="3"/>
      <c r="F2583" s="10"/>
    </row>
    <row r="2584" spans="3:6">
      <c r="C2584" s="1"/>
      <c r="E2584" s="3"/>
      <c r="F2584" s="10"/>
    </row>
    <row r="2585" spans="3:6">
      <c r="C2585" s="1"/>
      <c r="E2585" s="3"/>
      <c r="F2585" s="10"/>
    </row>
    <row r="2586" spans="3:6">
      <c r="C2586" s="1"/>
      <c r="E2586" s="3"/>
      <c r="F2586" s="10"/>
    </row>
    <row r="2587" spans="3:6">
      <c r="C2587" s="1"/>
      <c r="E2587" s="3"/>
      <c r="F2587" s="10"/>
    </row>
    <row r="2588" spans="3:6">
      <c r="C2588" s="1"/>
      <c r="E2588" s="3"/>
      <c r="F2588" s="10"/>
    </row>
    <row r="2589" spans="3:6">
      <c r="C2589" s="1"/>
      <c r="E2589" s="3"/>
      <c r="F2589" s="10"/>
    </row>
    <row r="2590" spans="3:6">
      <c r="C2590" s="1"/>
      <c r="E2590" s="3"/>
      <c r="F2590" s="10"/>
    </row>
    <row r="2591" spans="3:6">
      <c r="C2591" s="1"/>
      <c r="E2591" s="3"/>
      <c r="F2591" s="10"/>
    </row>
    <row r="2592" spans="3:6">
      <c r="C2592" s="1"/>
      <c r="E2592" s="3"/>
      <c r="F2592" s="10"/>
    </row>
    <row r="2593" spans="3:6">
      <c r="C2593" s="1"/>
      <c r="E2593" s="3"/>
      <c r="F2593" s="10"/>
    </row>
    <row r="2594" spans="3:6">
      <c r="C2594" s="1"/>
      <c r="E2594" s="3"/>
      <c r="F2594" s="10"/>
    </row>
    <row r="2595" spans="3:6">
      <c r="C2595" s="1"/>
      <c r="E2595" s="3"/>
      <c r="F2595" s="10"/>
    </row>
    <row r="2596" spans="3:6">
      <c r="C2596" s="1"/>
      <c r="E2596" s="3"/>
      <c r="F2596" s="10"/>
    </row>
    <row r="2597" spans="3:6">
      <c r="C2597" s="1"/>
      <c r="E2597" s="3"/>
      <c r="F2597" s="10"/>
    </row>
    <row r="2598" spans="3:6">
      <c r="C2598" s="1"/>
      <c r="E2598" s="3"/>
      <c r="F2598" s="10"/>
    </row>
    <row r="2599" spans="3:6">
      <c r="C2599" s="1"/>
      <c r="E2599" s="3"/>
      <c r="F2599" s="10"/>
    </row>
    <row r="2600" spans="3:6">
      <c r="C2600" s="1"/>
      <c r="E2600" s="3"/>
      <c r="F2600" s="10"/>
    </row>
    <row r="2601" spans="3:6">
      <c r="C2601" s="1"/>
      <c r="E2601" s="3"/>
      <c r="F2601" s="10"/>
    </row>
    <row r="2602" spans="3:6">
      <c r="C2602" s="1"/>
      <c r="E2602" s="3"/>
      <c r="F2602" s="10"/>
    </row>
    <row r="2603" spans="3:6">
      <c r="C2603" s="1"/>
      <c r="E2603" s="3"/>
      <c r="F2603" s="10"/>
    </row>
    <row r="2604" spans="3:6">
      <c r="C2604" s="1"/>
      <c r="E2604" s="3"/>
      <c r="F2604" s="10"/>
    </row>
    <row r="2605" spans="3:6">
      <c r="C2605" s="1"/>
      <c r="E2605" s="3"/>
      <c r="F2605" s="10"/>
    </row>
    <row r="2606" spans="3:6">
      <c r="C2606" s="1"/>
      <c r="E2606" s="3"/>
      <c r="F2606" s="10"/>
    </row>
    <row r="2607" spans="3:6">
      <c r="C2607" s="1"/>
      <c r="E2607" s="3"/>
      <c r="F2607" s="10"/>
    </row>
    <row r="2608" spans="3:6">
      <c r="C2608" s="1"/>
      <c r="E2608" s="3"/>
      <c r="F2608" s="10"/>
    </row>
    <row r="2609" spans="3:6">
      <c r="C2609" s="1"/>
      <c r="E2609" s="3"/>
      <c r="F2609" s="10"/>
    </row>
    <row r="2610" spans="3:6">
      <c r="C2610" s="1"/>
      <c r="E2610" s="3"/>
      <c r="F2610" s="10"/>
    </row>
    <row r="2611" spans="3:6">
      <c r="C2611" s="1"/>
      <c r="E2611" s="3"/>
      <c r="F2611" s="10"/>
    </row>
    <row r="2612" spans="3:6">
      <c r="C2612" s="1"/>
      <c r="E2612" s="3"/>
      <c r="F2612" s="10"/>
    </row>
    <row r="2613" spans="3:6">
      <c r="C2613" s="1"/>
      <c r="E2613" s="3"/>
      <c r="F2613" s="10"/>
    </row>
    <row r="2614" spans="3:6">
      <c r="C2614" s="1"/>
      <c r="E2614" s="3"/>
      <c r="F2614" s="10"/>
    </row>
    <row r="2615" spans="3:6">
      <c r="C2615" s="1"/>
      <c r="E2615" s="3"/>
      <c r="F2615" s="10"/>
    </row>
    <row r="2616" spans="3:6">
      <c r="C2616" s="1"/>
      <c r="E2616" s="3"/>
      <c r="F2616" s="10"/>
    </row>
    <row r="2617" spans="3:6">
      <c r="C2617" s="1"/>
      <c r="E2617" s="3"/>
      <c r="F2617" s="10"/>
    </row>
    <row r="2618" spans="3:6">
      <c r="C2618" s="1"/>
      <c r="E2618" s="3"/>
      <c r="F2618" s="10"/>
    </row>
    <row r="2619" spans="3:6">
      <c r="C2619" s="1"/>
      <c r="E2619" s="3"/>
      <c r="F2619" s="10"/>
    </row>
    <row r="2620" spans="3:6">
      <c r="C2620" s="1"/>
      <c r="E2620" s="3"/>
      <c r="F2620" s="10"/>
    </row>
    <row r="2621" spans="3:6">
      <c r="C2621" s="1"/>
      <c r="E2621" s="3"/>
      <c r="F2621" s="10"/>
    </row>
    <row r="2622" spans="3:6">
      <c r="C2622" s="1"/>
      <c r="E2622" s="3"/>
      <c r="F2622" s="10"/>
    </row>
    <row r="2623" spans="3:6">
      <c r="C2623" s="1"/>
      <c r="E2623" s="3"/>
      <c r="F2623" s="10"/>
    </row>
    <row r="2624" spans="3:6">
      <c r="C2624" s="1"/>
      <c r="E2624" s="3"/>
      <c r="F2624" s="10"/>
    </row>
    <row r="2625" spans="3:6">
      <c r="C2625" s="1"/>
      <c r="E2625" s="3"/>
      <c r="F2625" s="10"/>
    </row>
    <row r="2626" spans="3:6">
      <c r="C2626" s="1"/>
      <c r="E2626" s="3"/>
      <c r="F2626" s="10"/>
    </row>
    <row r="2627" spans="3:6">
      <c r="C2627" s="1"/>
      <c r="E2627" s="3"/>
      <c r="F2627" s="10"/>
    </row>
    <row r="2628" spans="3:6">
      <c r="C2628" s="1"/>
      <c r="E2628" s="3"/>
      <c r="F2628" s="10"/>
    </row>
    <row r="2629" spans="3:6">
      <c r="C2629" s="1"/>
      <c r="E2629" s="3"/>
      <c r="F2629" s="10"/>
    </row>
    <row r="2630" spans="3:6">
      <c r="C2630" s="1"/>
      <c r="E2630" s="3"/>
      <c r="F2630" s="10"/>
    </row>
    <row r="2631" spans="3:6">
      <c r="C2631" s="1"/>
      <c r="E2631" s="3"/>
      <c r="F2631" s="10"/>
    </row>
    <row r="2632" spans="3:6">
      <c r="C2632" s="1"/>
      <c r="E2632" s="3"/>
      <c r="F2632" s="10"/>
    </row>
    <row r="2633" spans="3:6">
      <c r="C2633" s="1"/>
      <c r="E2633" s="3"/>
      <c r="F2633" s="10"/>
    </row>
    <row r="2634" spans="3:6">
      <c r="C2634" s="1"/>
      <c r="E2634" s="3"/>
      <c r="F2634" s="10"/>
    </row>
    <row r="2635" spans="3:6">
      <c r="C2635" s="1"/>
      <c r="E2635" s="3"/>
      <c r="F2635" s="10"/>
    </row>
    <row r="2636" spans="3:6">
      <c r="C2636" s="1"/>
      <c r="E2636" s="3"/>
      <c r="F2636" s="10"/>
    </row>
    <row r="2637" spans="3:6">
      <c r="C2637" s="1"/>
      <c r="E2637" s="3"/>
      <c r="F2637" s="10"/>
    </row>
    <row r="2638" spans="3:6">
      <c r="C2638" s="1"/>
      <c r="E2638" s="3"/>
      <c r="F2638" s="10"/>
    </row>
    <row r="2639" spans="3:6">
      <c r="C2639" s="1"/>
      <c r="E2639" s="3"/>
      <c r="F2639" s="10"/>
    </row>
    <row r="2640" spans="3:6">
      <c r="C2640" s="1"/>
      <c r="E2640" s="3"/>
      <c r="F2640" s="10"/>
    </row>
    <row r="2641" spans="3:6">
      <c r="C2641" s="1"/>
      <c r="E2641" s="3"/>
      <c r="F2641" s="10"/>
    </row>
    <row r="2642" spans="3:6">
      <c r="C2642" s="1"/>
      <c r="E2642" s="3"/>
      <c r="F2642" s="10"/>
    </row>
    <row r="2643" spans="3:6">
      <c r="C2643" s="1"/>
      <c r="E2643" s="3"/>
      <c r="F2643" s="10"/>
    </row>
    <row r="2644" spans="3:6">
      <c r="C2644" s="1"/>
      <c r="E2644" s="3"/>
      <c r="F2644" s="10"/>
    </row>
    <row r="2645" spans="3:6">
      <c r="C2645" s="1"/>
      <c r="E2645" s="3"/>
      <c r="F2645" s="10"/>
    </row>
    <row r="2646" spans="3:6">
      <c r="C2646" s="1"/>
      <c r="E2646" s="3"/>
      <c r="F2646" s="10"/>
    </row>
    <row r="2647" spans="3:6">
      <c r="C2647" s="1"/>
      <c r="E2647" s="3"/>
      <c r="F2647" s="10"/>
    </row>
    <row r="2648" spans="3:6">
      <c r="C2648" s="1"/>
      <c r="E2648" s="3"/>
      <c r="F2648" s="10"/>
    </row>
    <row r="2649" spans="3:6">
      <c r="C2649" s="1"/>
      <c r="E2649" s="3"/>
      <c r="F2649" s="10"/>
    </row>
    <row r="2650" spans="3:6">
      <c r="C2650" s="1"/>
      <c r="E2650" s="3"/>
      <c r="F2650" s="10"/>
    </row>
    <row r="2651" spans="3:6">
      <c r="C2651" s="1"/>
      <c r="E2651" s="3"/>
      <c r="F2651" s="10"/>
    </row>
    <row r="2652" spans="3:6">
      <c r="C2652" s="1"/>
      <c r="E2652" s="3"/>
      <c r="F2652" s="10"/>
    </row>
    <row r="2653" spans="3:6">
      <c r="C2653" s="1"/>
      <c r="E2653" s="3"/>
      <c r="F2653" s="10"/>
    </row>
    <row r="2654" spans="3:6">
      <c r="C2654" s="1"/>
      <c r="E2654" s="3"/>
      <c r="F2654" s="10"/>
    </row>
    <row r="2655" spans="3:6">
      <c r="C2655" s="1"/>
      <c r="E2655" s="3"/>
      <c r="F2655" s="10"/>
    </row>
    <row r="2656" spans="3:6">
      <c r="C2656" s="1"/>
      <c r="E2656" s="3"/>
      <c r="F2656" s="10"/>
    </row>
    <row r="2657" spans="3:6">
      <c r="C2657" s="1"/>
      <c r="E2657" s="3"/>
      <c r="F2657" s="10"/>
    </row>
    <row r="2658" spans="3:6">
      <c r="C2658" s="1"/>
      <c r="E2658" s="3"/>
      <c r="F2658" s="10"/>
    </row>
    <row r="2659" spans="3:6">
      <c r="C2659" s="1"/>
      <c r="E2659" s="3"/>
      <c r="F2659" s="10"/>
    </row>
    <row r="2660" spans="3:6">
      <c r="C2660" s="1"/>
      <c r="E2660" s="3"/>
      <c r="F2660" s="10"/>
    </row>
    <row r="2661" spans="3:6">
      <c r="C2661" s="1"/>
      <c r="E2661" s="3"/>
      <c r="F2661" s="10"/>
    </row>
    <row r="2662" spans="3:6">
      <c r="C2662" s="1"/>
      <c r="E2662" s="3"/>
      <c r="F2662" s="10"/>
    </row>
    <row r="2663" spans="3:6">
      <c r="C2663" s="1"/>
      <c r="E2663" s="3"/>
      <c r="F2663" s="10"/>
    </row>
    <row r="2664" spans="3:6">
      <c r="C2664" s="1"/>
      <c r="E2664" s="3"/>
      <c r="F2664" s="10"/>
    </row>
    <row r="2665" spans="3:6">
      <c r="C2665" s="1"/>
      <c r="E2665" s="3"/>
      <c r="F2665" s="10"/>
    </row>
    <row r="2666" spans="3:6">
      <c r="C2666" s="1"/>
      <c r="E2666" s="3"/>
      <c r="F2666" s="10"/>
    </row>
    <row r="2667" spans="3:6">
      <c r="C2667" s="1"/>
      <c r="E2667" s="3"/>
      <c r="F2667" s="10"/>
    </row>
    <row r="2668" spans="3:6">
      <c r="C2668" s="1"/>
      <c r="E2668" s="3"/>
      <c r="F2668" s="10"/>
    </row>
    <row r="2669" spans="3:6">
      <c r="C2669" s="1"/>
      <c r="E2669" s="3"/>
      <c r="F2669" s="10"/>
    </row>
    <row r="2670" spans="3:6">
      <c r="C2670" s="1"/>
      <c r="E2670" s="3"/>
      <c r="F2670" s="10"/>
    </row>
    <row r="2671" spans="3:6">
      <c r="C2671" s="1"/>
      <c r="E2671" s="3"/>
      <c r="F2671" s="10"/>
    </row>
    <row r="2672" spans="3:6">
      <c r="C2672" s="1"/>
      <c r="E2672" s="3"/>
      <c r="F2672" s="10"/>
    </row>
    <row r="2673" spans="3:6">
      <c r="C2673" s="1"/>
      <c r="E2673" s="3"/>
      <c r="F2673" s="10"/>
    </row>
    <row r="2674" spans="3:6">
      <c r="C2674" s="1"/>
      <c r="E2674" s="3"/>
      <c r="F2674" s="10"/>
    </row>
    <row r="2675" spans="3:6">
      <c r="C2675" s="1"/>
      <c r="E2675" s="3"/>
      <c r="F2675" s="10"/>
    </row>
    <row r="2676" spans="3:6">
      <c r="C2676" s="1"/>
      <c r="E2676" s="3"/>
      <c r="F2676" s="10"/>
    </row>
    <row r="2677" spans="3:6">
      <c r="C2677" s="1"/>
      <c r="E2677" s="3"/>
      <c r="F2677" s="10"/>
    </row>
    <row r="2678" spans="3:6">
      <c r="C2678" s="1"/>
      <c r="E2678" s="3"/>
      <c r="F2678" s="10"/>
    </row>
    <row r="2679" spans="3:6">
      <c r="C2679" s="1"/>
      <c r="E2679" s="3"/>
      <c r="F2679" s="10"/>
    </row>
    <row r="2680" spans="3:6">
      <c r="C2680" s="1"/>
      <c r="E2680" s="3"/>
      <c r="F2680" s="10"/>
    </row>
    <row r="2681" spans="3:6">
      <c r="C2681" s="1"/>
      <c r="E2681" s="3"/>
      <c r="F2681" s="10"/>
    </row>
    <row r="2682" spans="3:6">
      <c r="C2682" s="1"/>
      <c r="E2682" s="3"/>
      <c r="F2682" s="10"/>
    </row>
    <row r="2683" spans="3:6">
      <c r="C2683" s="1"/>
      <c r="E2683" s="3"/>
      <c r="F2683" s="10"/>
    </row>
    <row r="2684" spans="3:6">
      <c r="C2684" s="1"/>
      <c r="E2684" s="3"/>
      <c r="F2684" s="10"/>
    </row>
    <row r="2685" spans="3:6">
      <c r="C2685" s="1"/>
      <c r="E2685" s="3"/>
      <c r="F2685" s="10"/>
    </row>
    <row r="2686" spans="3:6">
      <c r="C2686" s="1"/>
      <c r="E2686" s="3"/>
      <c r="F2686" s="10"/>
    </row>
    <row r="2687" spans="3:6">
      <c r="C2687" s="1"/>
      <c r="E2687" s="3"/>
      <c r="F2687" s="10"/>
    </row>
    <row r="2688" spans="3:6">
      <c r="C2688" s="1"/>
      <c r="E2688" s="3"/>
      <c r="F2688" s="10"/>
    </row>
    <row r="2689" spans="3:6">
      <c r="C2689" s="1"/>
      <c r="E2689" s="3"/>
      <c r="F2689" s="10"/>
    </row>
    <row r="2690" spans="3:6">
      <c r="C2690" s="1"/>
      <c r="E2690" s="3"/>
      <c r="F2690" s="10"/>
    </row>
    <row r="2691" spans="3:6">
      <c r="C2691" s="1"/>
      <c r="E2691" s="3"/>
      <c r="F2691" s="10"/>
    </row>
    <row r="2692" spans="3:6">
      <c r="C2692" s="1"/>
      <c r="E2692" s="3"/>
      <c r="F2692" s="10"/>
    </row>
    <row r="2693" spans="3:6">
      <c r="C2693" s="1"/>
      <c r="E2693" s="3"/>
      <c r="F2693" s="10"/>
    </row>
    <row r="2694" spans="3:6">
      <c r="C2694" s="1"/>
      <c r="E2694" s="3"/>
      <c r="F2694" s="10"/>
    </row>
    <row r="2695" spans="3:6">
      <c r="C2695" s="1"/>
      <c r="E2695" s="3"/>
      <c r="F2695" s="10"/>
    </row>
    <row r="2696" spans="3:6">
      <c r="C2696" s="1"/>
      <c r="E2696" s="3"/>
      <c r="F2696" s="10"/>
    </row>
    <row r="2697" spans="3:6">
      <c r="C2697" s="1"/>
      <c r="E2697" s="3"/>
      <c r="F2697" s="10"/>
    </row>
    <row r="2698" spans="3:6">
      <c r="C2698" s="1"/>
      <c r="E2698" s="3"/>
      <c r="F2698" s="10"/>
    </row>
    <row r="2699" spans="3:6">
      <c r="C2699" s="1"/>
      <c r="E2699" s="3"/>
      <c r="F2699" s="10"/>
    </row>
    <row r="2700" spans="3:6">
      <c r="C2700" s="1"/>
      <c r="E2700" s="3"/>
      <c r="F2700" s="10"/>
    </row>
    <row r="2701" spans="3:6">
      <c r="C2701" s="1"/>
      <c r="E2701" s="3"/>
      <c r="F2701" s="10"/>
    </row>
    <row r="2702" spans="3:6">
      <c r="C2702" s="1"/>
      <c r="E2702" s="3"/>
      <c r="F2702" s="10"/>
    </row>
    <row r="2703" spans="3:6">
      <c r="C2703" s="1"/>
      <c r="E2703" s="3"/>
      <c r="F2703" s="10"/>
    </row>
    <row r="2704" spans="3:6">
      <c r="C2704" s="1"/>
      <c r="E2704" s="3"/>
      <c r="F2704" s="10"/>
    </row>
    <row r="2705" spans="3:6">
      <c r="C2705" s="1"/>
      <c r="E2705" s="3"/>
      <c r="F2705" s="10"/>
    </row>
    <row r="2706" spans="3:6">
      <c r="C2706" s="1"/>
      <c r="E2706" s="3"/>
      <c r="F2706" s="10"/>
    </row>
    <row r="2707" spans="3:6">
      <c r="C2707" s="1"/>
      <c r="E2707" s="3"/>
      <c r="F2707" s="10"/>
    </row>
    <row r="2708" spans="3:6">
      <c r="C2708" s="1"/>
      <c r="E2708" s="3"/>
      <c r="F2708" s="10"/>
    </row>
    <row r="2709" spans="3:6">
      <c r="C2709" s="1"/>
      <c r="E2709" s="3"/>
      <c r="F2709" s="10"/>
    </row>
    <row r="2710" spans="3:6">
      <c r="C2710" s="1"/>
      <c r="E2710" s="3"/>
      <c r="F2710" s="10"/>
    </row>
    <row r="2711" spans="3:6">
      <c r="C2711" s="1"/>
      <c r="E2711" s="3"/>
      <c r="F2711" s="10"/>
    </row>
    <row r="2712" spans="3:6">
      <c r="C2712" s="1"/>
      <c r="E2712" s="3"/>
      <c r="F2712" s="10"/>
    </row>
    <row r="2713" spans="3:6">
      <c r="C2713" s="1"/>
      <c r="E2713" s="3"/>
      <c r="F2713" s="10"/>
    </row>
    <row r="2714" spans="3:6">
      <c r="C2714" s="1"/>
      <c r="E2714" s="3"/>
      <c r="F2714" s="10"/>
    </row>
    <row r="2715" spans="3:6">
      <c r="C2715" s="1"/>
      <c r="E2715" s="3"/>
      <c r="F2715" s="10"/>
    </row>
    <row r="2716" spans="3:6">
      <c r="C2716" s="1"/>
      <c r="E2716" s="3"/>
      <c r="F2716" s="10"/>
    </row>
    <row r="2717" spans="3:6">
      <c r="C2717" s="1"/>
      <c r="E2717" s="3"/>
      <c r="F2717" s="10"/>
    </row>
    <row r="2718" spans="3:6">
      <c r="C2718" s="1"/>
      <c r="E2718" s="3"/>
      <c r="F2718" s="10"/>
    </row>
    <row r="2719" spans="3:6">
      <c r="C2719" s="1"/>
      <c r="E2719" s="3"/>
      <c r="F2719" s="10"/>
    </row>
    <row r="2720" spans="3:6">
      <c r="C2720" s="1"/>
      <c r="E2720" s="3"/>
      <c r="F2720" s="10"/>
    </row>
    <row r="2721" spans="3:6">
      <c r="C2721" s="1"/>
      <c r="E2721" s="3"/>
      <c r="F2721" s="10"/>
    </row>
    <row r="2722" spans="3:6">
      <c r="C2722" s="1"/>
      <c r="E2722" s="3"/>
      <c r="F2722" s="10"/>
    </row>
    <row r="2723" spans="3:6">
      <c r="C2723" s="1"/>
      <c r="E2723" s="3"/>
      <c r="F2723" s="10"/>
    </row>
    <row r="2724" spans="3:6">
      <c r="C2724" s="1"/>
      <c r="E2724" s="3"/>
      <c r="F2724" s="10"/>
    </row>
    <row r="2725" spans="3:6">
      <c r="C2725" s="1"/>
      <c r="E2725" s="3"/>
      <c r="F2725" s="10"/>
    </row>
    <row r="2726" spans="3:6">
      <c r="C2726" s="1"/>
      <c r="E2726" s="3"/>
      <c r="F2726" s="10"/>
    </row>
    <row r="2727" spans="3:6">
      <c r="C2727" s="1"/>
      <c r="E2727" s="3"/>
      <c r="F2727" s="10"/>
    </row>
    <row r="2728" spans="3:6">
      <c r="C2728" s="1"/>
      <c r="E2728" s="3"/>
      <c r="F2728" s="10"/>
    </row>
    <row r="2729" spans="3:6">
      <c r="C2729" s="1"/>
      <c r="E2729" s="3"/>
      <c r="F2729" s="10"/>
    </row>
    <row r="2730" spans="3:6">
      <c r="C2730" s="1"/>
      <c r="E2730" s="3"/>
      <c r="F2730" s="10"/>
    </row>
    <row r="2731" spans="3:6">
      <c r="C2731" s="1"/>
      <c r="E2731" s="3"/>
      <c r="F2731" s="10"/>
    </row>
    <row r="2732" spans="3:6">
      <c r="C2732" s="1"/>
      <c r="E2732" s="3"/>
      <c r="F2732" s="10"/>
    </row>
    <row r="2733" spans="3:6">
      <c r="C2733" s="1"/>
      <c r="E2733" s="3"/>
      <c r="F2733" s="10"/>
    </row>
    <row r="2734" spans="3:6">
      <c r="C2734" s="1"/>
      <c r="E2734" s="3"/>
      <c r="F2734" s="10"/>
    </row>
    <row r="2735" spans="3:6">
      <c r="C2735" s="1"/>
      <c r="E2735" s="3"/>
      <c r="F2735" s="10"/>
    </row>
    <row r="2736" spans="3:6">
      <c r="C2736" s="1"/>
      <c r="E2736" s="3"/>
      <c r="F2736" s="10"/>
    </row>
    <row r="2737" spans="3:6">
      <c r="C2737" s="1"/>
      <c r="E2737" s="3"/>
      <c r="F2737" s="10"/>
    </row>
    <row r="2738" spans="3:6">
      <c r="C2738" s="1"/>
      <c r="E2738" s="3"/>
      <c r="F2738" s="10"/>
    </row>
    <row r="2739" spans="3:6">
      <c r="C2739" s="1"/>
      <c r="E2739" s="3"/>
      <c r="F2739" s="10"/>
    </row>
    <row r="2740" spans="3:6">
      <c r="C2740" s="1"/>
      <c r="E2740" s="3"/>
      <c r="F2740" s="10"/>
    </row>
    <row r="2741" spans="3:6">
      <c r="C2741" s="1"/>
      <c r="E2741" s="3"/>
      <c r="F2741" s="10"/>
    </row>
    <row r="2742" spans="3:6">
      <c r="C2742" s="1"/>
      <c r="E2742" s="3"/>
      <c r="F2742" s="10"/>
    </row>
    <row r="2743" spans="3:6">
      <c r="C2743" s="1"/>
      <c r="E2743" s="3"/>
      <c r="F2743" s="10"/>
    </row>
    <row r="2744" spans="3:6">
      <c r="C2744" s="1"/>
      <c r="E2744" s="3"/>
      <c r="F2744" s="10"/>
    </row>
    <row r="2745" spans="3:6">
      <c r="C2745" s="1"/>
      <c r="E2745" s="3"/>
      <c r="F2745" s="10"/>
    </row>
    <row r="2746" spans="3:6">
      <c r="C2746" s="1"/>
      <c r="E2746" s="3"/>
      <c r="F2746" s="10"/>
    </row>
    <row r="2747" spans="3:6">
      <c r="C2747" s="1"/>
      <c r="E2747" s="3"/>
      <c r="F2747" s="10"/>
    </row>
    <row r="2748" spans="3:6">
      <c r="C2748" s="1"/>
      <c r="E2748" s="3"/>
      <c r="F2748" s="10"/>
    </row>
    <row r="2749" spans="3:6">
      <c r="C2749" s="1"/>
      <c r="E2749" s="3"/>
      <c r="F2749" s="10"/>
    </row>
    <row r="2750" spans="3:6">
      <c r="C2750" s="1"/>
      <c r="E2750" s="3"/>
      <c r="F2750" s="10"/>
    </row>
    <row r="2751" spans="3:6">
      <c r="C2751" s="1"/>
      <c r="E2751" s="3"/>
      <c r="F2751" s="10"/>
    </row>
    <row r="2752" spans="3:6">
      <c r="C2752" s="1"/>
      <c r="E2752" s="3"/>
      <c r="F2752" s="10"/>
    </row>
    <row r="2753" spans="3:6">
      <c r="C2753" s="1"/>
      <c r="E2753" s="3"/>
      <c r="F2753" s="10"/>
    </row>
    <row r="2754" spans="3:6">
      <c r="C2754" s="1"/>
      <c r="E2754" s="3"/>
      <c r="F2754" s="10"/>
    </row>
    <row r="2755" spans="3:6">
      <c r="C2755" s="1"/>
      <c r="E2755" s="3"/>
      <c r="F2755" s="10"/>
    </row>
    <row r="2756" spans="3:6">
      <c r="C2756" s="1"/>
      <c r="E2756" s="3"/>
      <c r="F2756" s="10"/>
    </row>
    <row r="2757" spans="3:6">
      <c r="C2757" s="1"/>
      <c r="E2757" s="3"/>
      <c r="F2757" s="10"/>
    </row>
    <row r="2758" spans="3:6">
      <c r="C2758" s="1"/>
      <c r="E2758" s="3"/>
      <c r="F2758" s="10"/>
    </row>
    <row r="2759" spans="3:6">
      <c r="C2759" s="1"/>
      <c r="E2759" s="3"/>
      <c r="F2759" s="10"/>
    </row>
    <row r="2760" spans="3:6">
      <c r="C2760" s="1"/>
      <c r="E2760" s="3"/>
      <c r="F2760" s="10"/>
    </row>
    <row r="2761" spans="3:6">
      <c r="C2761" s="1"/>
      <c r="E2761" s="3"/>
      <c r="F2761" s="10"/>
    </row>
    <row r="2762" spans="3:6">
      <c r="C2762" s="1"/>
      <c r="E2762" s="3"/>
      <c r="F2762" s="10"/>
    </row>
    <row r="2763" spans="3:6">
      <c r="C2763" s="1"/>
      <c r="E2763" s="3"/>
      <c r="F2763" s="10"/>
    </row>
    <row r="2764" spans="3:6">
      <c r="C2764" s="1"/>
      <c r="E2764" s="3"/>
      <c r="F2764" s="10"/>
    </row>
    <row r="2765" spans="3:6">
      <c r="C2765" s="1"/>
      <c r="E2765" s="3"/>
      <c r="F2765" s="10"/>
    </row>
    <row r="2766" spans="3:6">
      <c r="C2766" s="1"/>
      <c r="E2766" s="3"/>
      <c r="F2766" s="10"/>
    </row>
    <row r="2767" spans="3:6">
      <c r="C2767" s="1"/>
      <c r="E2767" s="3"/>
      <c r="F2767" s="10"/>
    </row>
    <row r="2768" spans="3:6">
      <c r="C2768" s="1"/>
      <c r="E2768" s="3"/>
      <c r="F2768" s="10"/>
    </row>
    <row r="2769" spans="3:6">
      <c r="C2769" s="1"/>
      <c r="E2769" s="3"/>
      <c r="F2769" s="10"/>
    </row>
    <row r="2770" spans="3:6">
      <c r="C2770" s="1"/>
      <c r="E2770" s="3"/>
      <c r="F2770" s="10"/>
    </row>
    <row r="2771" spans="3:6">
      <c r="C2771" s="1"/>
      <c r="E2771" s="3"/>
      <c r="F2771" s="10"/>
    </row>
    <row r="2772" spans="3:6">
      <c r="C2772" s="1"/>
      <c r="E2772" s="3"/>
      <c r="F2772" s="10"/>
    </row>
    <row r="2773" spans="3:6">
      <c r="C2773" s="1"/>
      <c r="E2773" s="3"/>
      <c r="F2773" s="10"/>
    </row>
    <row r="2774" spans="3:6">
      <c r="C2774" s="1"/>
      <c r="E2774" s="3"/>
      <c r="F2774" s="10"/>
    </row>
    <row r="2775" spans="3:6">
      <c r="C2775" s="1"/>
      <c r="E2775" s="3"/>
      <c r="F2775" s="10"/>
    </row>
    <row r="2776" spans="3:6">
      <c r="C2776" s="1"/>
      <c r="E2776" s="3"/>
      <c r="F2776" s="10"/>
    </row>
    <row r="2777" spans="3:6">
      <c r="C2777" s="1"/>
      <c r="E2777" s="3"/>
      <c r="F2777" s="10"/>
    </row>
    <row r="2778" spans="3:6">
      <c r="C2778" s="1"/>
      <c r="E2778" s="3"/>
      <c r="F2778" s="10"/>
    </row>
    <row r="2779" spans="3:6">
      <c r="C2779" s="1"/>
      <c r="E2779" s="3"/>
      <c r="F2779" s="10"/>
    </row>
    <row r="2780" spans="3:6">
      <c r="C2780" s="1"/>
      <c r="E2780" s="3"/>
      <c r="F2780" s="10"/>
    </row>
    <row r="2781" spans="3:6">
      <c r="C2781" s="1"/>
      <c r="E2781" s="3"/>
      <c r="F2781" s="10"/>
    </row>
    <row r="2782" spans="3:6">
      <c r="C2782" s="1"/>
      <c r="E2782" s="3"/>
      <c r="F2782" s="10"/>
    </row>
    <row r="2783" spans="3:6">
      <c r="C2783" s="1"/>
      <c r="E2783" s="3"/>
      <c r="F2783" s="10"/>
    </row>
    <row r="2784" spans="3:6">
      <c r="C2784" s="1"/>
      <c r="E2784" s="3"/>
      <c r="F2784" s="10"/>
    </row>
    <row r="2785" spans="3:6">
      <c r="C2785" s="1"/>
      <c r="E2785" s="3"/>
      <c r="F2785" s="10"/>
    </row>
    <row r="2786" spans="3:6">
      <c r="C2786" s="1"/>
      <c r="E2786" s="3"/>
      <c r="F2786" s="10"/>
    </row>
    <row r="2787" spans="3:6">
      <c r="C2787" s="1"/>
      <c r="E2787" s="3"/>
      <c r="F2787" s="10"/>
    </row>
    <row r="2788" spans="3:6">
      <c r="C2788" s="1"/>
      <c r="E2788" s="3"/>
      <c r="F2788" s="10"/>
    </row>
    <row r="2789" spans="3:6">
      <c r="C2789" s="1"/>
      <c r="E2789" s="3"/>
      <c r="F2789" s="10"/>
    </row>
    <row r="2790" spans="3:6">
      <c r="C2790" s="1"/>
      <c r="E2790" s="3"/>
      <c r="F2790" s="10"/>
    </row>
    <row r="2791" spans="3:6">
      <c r="C2791" s="1"/>
      <c r="E2791" s="3"/>
      <c r="F2791" s="10"/>
    </row>
    <row r="2792" spans="3:6">
      <c r="C2792" s="1"/>
      <c r="E2792" s="3"/>
      <c r="F2792" s="10"/>
    </row>
    <row r="2793" spans="3:6">
      <c r="C2793" s="1"/>
      <c r="E2793" s="3"/>
      <c r="F2793" s="10"/>
    </row>
    <row r="2794" spans="3:6">
      <c r="C2794" s="1"/>
      <c r="E2794" s="3"/>
      <c r="F2794" s="10"/>
    </row>
    <row r="2795" spans="3:6">
      <c r="C2795" s="1"/>
      <c r="E2795" s="3"/>
      <c r="F2795" s="10"/>
    </row>
    <row r="2796" spans="3:6">
      <c r="C2796" s="1"/>
      <c r="E2796" s="3"/>
      <c r="F2796" s="10"/>
    </row>
    <row r="2797" spans="3:6">
      <c r="C2797" s="1"/>
      <c r="E2797" s="3"/>
      <c r="F2797" s="10"/>
    </row>
    <row r="2798" spans="3:6">
      <c r="C2798" s="1"/>
      <c r="E2798" s="3"/>
      <c r="F2798" s="10"/>
    </row>
    <row r="2799" spans="3:6">
      <c r="C2799" s="1"/>
      <c r="E2799" s="3"/>
      <c r="F2799" s="10"/>
    </row>
    <row r="2800" spans="3:6">
      <c r="C2800" s="1"/>
      <c r="E2800" s="3"/>
      <c r="F2800" s="10"/>
    </row>
    <row r="2801" spans="3:6">
      <c r="C2801" s="1"/>
      <c r="E2801" s="3"/>
      <c r="F2801" s="10"/>
    </row>
    <row r="2802" spans="3:6">
      <c r="C2802" s="1"/>
      <c r="E2802" s="3"/>
      <c r="F2802" s="10"/>
    </row>
    <row r="2803" spans="3:6">
      <c r="C2803" s="1"/>
      <c r="E2803" s="3"/>
      <c r="F2803" s="10"/>
    </row>
    <row r="2804" spans="3:6">
      <c r="C2804" s="1"/>
      <c r="E2804" s="3"/>
      <c r="F2804" s="10"/>
    </row>
    <row r="2805" spans="3:6">
      <c r="C2805" s="1"/>
      <c r="E2805" s="3"/>
      <c r="F2805" s="10"/>
    </row>
    <row r="2806" spans="3:6">
      <c r="C2806" s="1"/>
      <c r="E2806" s="3"/>
      <c r="F2806" s="10"/>
    </row>
    <row r="2807" spans="3:6">
      <c r="C2807" s="1"/>
      <c r="E2807" s="3"/>
      <c r="F2807" s="10"/>
    </row>
    <row r="2808" spans="3:6">
      <c r="C2808" s="1"/>
      <c r="E2808" s="3"/>
      <c r="F2808" s="10"/>
    </row>
    <row r="2809" spans="3:6">
      <c r="C2809" s="1"/>
      <c r="E2809" s="3"/>
      <c r="F2809" s="10"/>
    </row>
    <row r="2810" spans="3:6">
      <c r="C2810" s="1"/>
      <c r="E2810" s="3"/>
      <c r="F2810" s="10"/>
    </row>
    <row r="2811" spans="3:6">
      <c r="C2811" s="1"/>
      <c r="E2811" s="3"/>
      <c r="F2811" s="10"/>
    </row>
    <row r="2812" spans="3:6">
      <c r="C2812" s="1"/>
      <c r="E2812" s="3"/>
      <c r="F2812" s="10"/>
    </row>
    <row r="2813" spans="3:6">
      <c r="C2813" s="1"/>
      <c r="E2813" s="3"/>
      <c r="F2813" s="10"/>
    </row>
    <row r="2814" spans="3:6">
      <c r="C2814" s="1"/>
      <c r="E2814" s="3"/>
      <c r="F2814" s="10"/>
    </row>
    <row r="2815" spans="3:6">
      <c r="C2815" s="1"/>
      <c r="E2815" s="3"/>
      <c r="F2815" s="10"/>
    </row>
    <row r="2816" spans="3:6">
      <c r="C2816" s="1"/>
      <c r="E2816" s="3"/>
      <c r="F2816" s="10"/>
    </row>
    <row r="2817" spans="3:6">
      <c r="C2817" s="1"/>
      <c r="E2817" s="3"/>
      <c r="F2817" s="10"/>
    </row>
    <row r="2818" spans="3:6">
      <c r="C2818" s="1"/>
      <c r="E2818" s="3"/>
      <c r="F2818" s="10"/>
    </row>
    <row r="2819" spans="3:6">
      <c r="C2819" s="1"/>
      <c r="E2819" s="3"/>
      <c r="F2819" s="10"/>
    </row>
    <row r="2820" spans="3:6">
      <c r="C2820" s="1"/>
      <c r="E2820" s="3"/>
      <c r="F2820" s="10"/>
    </row>
    <row r="2821" spans="3:6">
      <c r="C2821" s="1"/>
      <c r="E2821" s="3"/>
      <c r="F2821" s="10"/>
    </row>
    <row r="2822" spans="3:6">
      <c r="C2822" s="1"/>
      <c r="E2822" s="3"/>
      <c r="F2822" s="10"/>
    </row>
    <row r="2823" spans="3:6">
      <c r="C2823" s="1"/>
      <c r="E2823" s="3"/>
      <c r="F2823" s="10"/>
    </row>
    <row r="2824" spans="3:6">
      <c r="C2824" s="1"/>
      <c r="E2824" s="3"/>
      <c r="F2824" s="10"/>
    </row>
    <row r="2825" spans="3:6">
      <c r="C2825" s="1"/>
      <c r="E2825" s="3"/>
      <c r="F2825" s="10"/>
    </row>
    <row r="2826" spans="3:6">
      <c r="C2826" s="1"/>
      <c r="E2826" s="3"/>
      <c r="F2826" s="10"/>
    </row>
    <row r="2827" spans="3:6">
      <c r="C2827" s="1"/>
      <c r="E2827" s="3"/>
      <c r="F2827" s="10"/>
    </row>
    <row r="2828" spans="3:6">
      <c r="C2828" s="1"/>
      <c r="E2828" s="3"/>
      <c r="F2828" s="10"/>
    </row>
    <row r="2829" spans="3:6">
      <c r="C2829" s="1"/>
      <c r="E2829" s="3"/>
      <c r="F2829" s="10"/>
    </row>
    <row r="2830" spans="3:6">
      <c r="C2830" s="1"/>
      <c r="E2830" s="3"/>
      <c r="F2830" s="10"/>
    </row>
    <row r="2831" spans="3:6">
      <c r="C2831" s="1"/>
      <c r="E2831" s="3"/>
      <c r="F2831" s="10"/>
    </row>
    <row r="2832" spans="3:6">
      <c r="C2832" s="1"/>
      <c r="E2832" s="3"/>
      <c r="F2832" s="10"/>
    </row>
    <row r="2833" spans="3:6">
      <c r="C2833" s="1"/>
      <c r="E2833" s="3"/>
      <c r="F2833" s="10"/>
    </row>
    <row r="2834" spans="3:6">
      <c r="C2834" s="1"/>
      <c r="E2834" s="3"/>
      <c r="F2834" s="10"/>
    </row>
    <row r="2835" spans="3:6">
      <c r="C2835" s="1"/>
      <c r="E2835" s="3"/>
      <c r="F2835" s="10"/>
    </row>
    <row r="2836" spans="3:6">
      <c r="C2836" s="1"/>
      <c r="E2836" s="3"/>
      <c r="F2836" s="10"/>
    </row>
    <row r="2837" spans="3:6">
      <c r="C2837" s="1"/>
      <c r="E2837" s="3"/>
      <c r="F2837" s="10"/>
    </row>
    <row r="2838" spans="3:6">
      <c r="C2838" s="1"/>
      <c r="E2838" s="3"/>
      <c r="F2838" s="10"/>
    </row>
    <row r="2839" spans="3:6">
      <c r="C2839" s="1"/>
      <c r="E2839" s="3"/>
      <c r="F2839" s="10"/>
    </row>
    <row r="2840" spans="3:6">
      <c r="C2840" s="1"/>
      <c r="E2840" s="3"/>
      <c r="F2840" s="10"/>
    </row>
    <row r="2841" spans="3:6">
      <c r="C2841" s="1"/>
      <c r="E2841" s="3"/>
      <c r="F2841" s="10"/>
    </row>
    <row r="2842" spans="3:6">
      <c r="C2842" s="1"/>
      <c r="E2842" s="3"/>
      <c r="F2842" s="10"/>
    </row>
    <row r="2843" spans="3:6">
      <c r="C2843" s="1"/>
      <c r="E2843" s="3"/>
      <c r="F2843" s="10"/>
    </row>
    <row r="2844" spans="3:6">
      <c r="C2844" s="1"/>
      <c r="E2844" s="3"/>
      <c r="F2844" s="10"/>
    </row>
    <row r="2845" spans="3:6">
      <c r="C2845" s="1"/>
      <c r="E2845" s="3"/>
      <c r="F2845" s="10"/>
    </row>
    <row r="2846" spans="3:6">
      <c r="C2846" s="1"/>
      <c r="E2846" s="3"/>
      <c r="F2846" s="10"/>
    </row>
    <row r="2847" spans="3:6">
      <c r="C2847" s="1"/>
      <c r="E2847" s="3"/>
      <c r="F2847" s="10"/>
    </row>
    <row r="2848" spans="3:6">
      <c r="C2848" s="1"/>
      <c r="E2848" s="3"/>
      <c r="F2848" s="10"/>
    </row>
    <row r="2849" spans="3:6">
      <c r="C2849" s="1"/>
      <c r="E2849" s="3"/>
      <c r="F2849" s="10"/>
    </row>
    <row r="2850" spans="3:6">
      <c r="C2850" s="1"/>
      <c r="E2850" s="3"/>
      <c r="F2850" s="10"/>
    </row>
    <row r="2851" spans="3:6">
      <c r="C2851" s="1"/>
      <c r="E2851" s="3"/>
      <c r="F2851" s="10"/>
    </row>
    <row r="2852" spans="3:6">
      <c r="C2852" s="1"/>
      <c r="E2852" s="3"/>
      <c r="F2852" s="10"/>
    </row>
    <row r="2853" spans="3:6">
      <c r="C2853" s="1"/>
      <c r="E2853" s="3"/>
      <c r="F2853" s="10"/>
    </row>
    <row r="2854" spans="3:6">
      <c r="C2854" s="1"/>
      <c r="E2854" s="3"/>
      <c r="F2854" s="10"/>
    </row>
    <row r="2855" spans="3:6">
      <c r="C2855" s="1"/>
      <c r="E2855" s="3"/>
      <c r="F2855" s="10"/>
    </row>
    <row r="2856" spans="3:6">
      <c r="C2856" s="1"/>
      <c r="E2856" s="3"/>
      <c r="F2856" s="10"/>
    </row>
    <row r="2857" spans="3:6">
      <c r="C2857" s="1"/>
      <c r="E2857" s="3"/>
      <c r="F2857" s="10"/>
    </row>
    <row r="2858" spans="3:6">
      <c r="C2858" s="1"/>
      <c r="E2858" s="3"/>
      <c r="F2858" s="10"/>
    </row>
    <row r="2859" spans="3:6">
      <c r="C2859" s="1"/>
      <c r="E2859" s="3"/>
      <c r="F2859" s="10"/>
    </row>
    <row r="2860" spans="3:6">
      <c r="C2860" s="1"/>
      <c r="E2860" s="3"/>
      <c r="F2860" s="10"/>
    </row>
    <row r="2861" spans="3:6">
      <c r="C2861" s="1"/>
      <c r="E2861" s="3"/>
      <c r="F2861" s="10"/>
    </row>
    <row r="2862" spans="3:6">
      <c r="C2862" s="1"/>
      <c r="E2862" s="3"/>
      <c r="F2862" s="10"/>
    </row>
    <row r="2863" spans="3:6">
      <c r="C2863" s="1"/>
      <c r="E2863" s="3"/>
      <c r="F2863" s="10"/>
    </row>
    <row r="2864" spans="3:6">
      <c r="C2864" s="1"/>
      <c r="E2864" s="3"/>
      <c r="F2864" s="10"/>
    </row>
    <row r="2865" spans="3:6">
      <c r="C2865" s="1"/>
      <c r="E2865" s="3"/>
      <c r="F2865" s="10"/>
    </row>
    <row r="2866" spans="3:6">
      <c r="C2866" s="1"/>
      <c r="E2866" s="3"/>
      <c r="F2866" s="10"/>
    </row>
    <row r="2867" spans="3:6">
      <c r="C2867" s="1"/>
      <c r="E2867" s="3"/>
      <c r="F2867" s="10"/>
    </row>
    <row r="2868" spans="3:6">
      <c r="C2868" s="1"/>
      <c r="E2868" s="3"/>
      <c r="F2868" s="10"/>
    </row>
    <row r="2869" spans="3:6">
      <c r="C2869" s="1"/>
      <c r="E2869" s="3"/>
      <c r="F2869" s="10"/>
    </row>
    <row r="2870" spans="3:6">
      <c r="C2870" s="1"/>
      <c r="E2870" s="3"/>
      <c r="F2870" s="10"/>
    </row>
    <row r="2871" spans="3:6">
      <c r="C2871" s="1"/>
      <c r="E2871" s="3"/>
      <c r="F2871" s="10"/>
    </row>
    <row r="2872" spans="3:6">
      <c r="C2872" s="1"/>
      <c r="E2872" s="3"/>
      <c r="F2872" s="10"/>
    </row>
    <row r="2873" spans="3:6">
      <c r="C2873" s="1"/>
      <c r="E2873" s="3"/>
      <c r="F2873" s="10"/>
    </row>
    <row r="2874" spans="3:6">
      <c r="C2874" s="1"/>
      <c r="E2874" s="3"/>
      <c r="F2874" s="10"/>
    </row>
    <row r="2875" spans="3:6">
      <c r="C2875" s="1"/>
      <c r="E2875" s="3"/>
      <c r="F2875" s="10"/>
    </row>
    <row r="2876" spans="3:6">
      <c r="C2876" s="1"/>
      <c r="E2876" s="3"/>
      <c r="F2876" s="10"/>
    </row>
    <row r="2877" spans="3:6">
      <c r="C2877" s="1"/>
      <c r="E2877" s="3"/>
      <c r="F2877" s="10"/>
    </row>
    <row r="2878" spans="3:6">
      <c r="C2878" s="1"/>
      <c r="E2878" s="3"/>
      <c r="F2878" s="10"/>
    </row>
    <row r="2879" spans="3:6">
      <c r="C2879" s="1"/>
      <c r="E2879" s="3"/>
      <c r="F2879" s="10"/>
    </row>
    <row r="2880" spans="3:6">
      <c r="C2880" s="1"/>
      <c r="E2880" s="3"/>
      <c r="F2880" s="10"/>
    </row>
    <row r="2881" spans="3:6">
      <c r="C2881" s="1"/>
      <c r="E2881" s="3"/>
      <c r="F2881" s="10"/>
    </row>
    <row r="2882" spans="3:6">
      <c r="C2882" s="1"/>
      <c r="E2882" s="3"/>
      <c r="F2882" s="10"/>
    </row>
    <row r="2883" spans="3:6">
      <c r="C2883" s="1"/>
      <c r="E2883" s="3"/>
      <c r="F2883" s="10"/>
    </row>
    <row r="2884" spans="3:6">
      <c r="C2884" s="1"/>
      <c r="E2884" s="3"/>
      <c r="F2884" s="10"/>
    </row>
    <row r="2885" spans="3:6">
      <c r="C2885" s="1"/>
      <c r="E2885" s="3"/>
      <c r="F2885" s="10"/>
    </row>
    <row r="2886" spans="3:6">
      <c r="C2886" s="1"/>
      <c r="E2886" s="3"/>
      <c r="F2886" s="10"/>
    </row>
    <row r="2887" spans="3:6">
      <c r="C2887" s="1"/>
      <c r="E2887" s="3"/>
      <c r="F2887" s="10"/>
    </row>
    <row r="2888" spans="3:6">
      <c r="C2888" s="1"/>
      <c r="E2888" s="3"/>
      <c r="F2888" s="10"/>
    </row>
    <row r="2889" spans="3:6">
      <c r="C2889" s="1"/>
      <c r="E2889" s="3"/>
      <c r="F2889" s="10"/>
    </row>
    <row r="2890" spans="3:6">
      <c r="C2890" s="1"/>
      <c r="E2890" s="3"/>
      <c r="F2890" s="10"/>
    </row>
    <row r="2891" spans="3:6">
      <c r="C2891" s="1"/>
      <c r="E2891" s="3"/>
      <c r="F2891" s="10"/>
    </row>
    <row r="2892" spans="3:6">
      <c r="C2892" s="1"/>
      <c r="E2892" s="3"/>
      <c r="F2892" s="10"/>
    </row>
    <row r="2893" spans="3:6">
      <c r="C2893" s="1"/>
      <c r="E2893" s="3"/>
      <c r="F2893" s="10"/>
    </row>
    <row r="2894" spans="3:6">
      <c r="C2894" s="1"/>
      <c r="E2894" s="3"/>
      <c r="F2894" s="10"/>
    </row>
    <row r="2895" spans="3:6">
      <c r="C2895" s="1"/>
      <c r="E2895" s="3"/>
      <c r="F2895" s="10"/>
    </row>
    <row r="2896" spans="3:6">
      <c r="C2896" s="1"/>
      <c r="E2896" s="3"/>
      <c r="F2896" s="10"/>
    </row>
    <row r="2897" spans="3:6">
      <c r="C2897" s="1"/>
      <c r="E2897" s="3"/>
      <c r="F2897" s="10"/>
    </row>
    <row r="2898" spans="3:6">
      <c r="C2898" s="1"/>
      <c r="E2898" s="3"/>
      <c r="F2898" s="10"/>
    </row>
    <row r="2899" spans="3:6">
      <c r="C2899" s="1"/>
      <c r="E2899" s="3"/>
      <c r="F2899" s="10"/>
    </row>
    <row r="2900" spans="3:6">
      <c r="C2900" s="1"/>
      <c r="E2900" s="3"/>
      <c r="F2900" s="10"/>
    </row>
    <row r="2901" spans="3:6">
      <c r="C2901" s="1"/>
      <c r="E2901" s="3"/>
      <c r="F2901" s="10"/>
    </row>
    <row r="2902" spans="3:6">
      <c r="C2902" s="1"/>
      <c r="E2902" s="3"/>
      <c r="F2902" s="10"/>
    </row>
    <row r="2903" spans="3:6">
      <c r="C2903" s="1"/>
      <c r="E2903" s="3"/>
      <c r="F2903" s="10"/>
    </row>
    <row r="2904" spans="3:6">
      <c r="C2904" s="1"/>
      <c r="E2904" s="3"/>
      <c r="F2904" s="10"/>
    </row>
    <row r="2905" spans="3:6">
      <c r="C2905" s="1"/>
      <c r="E2905" s="3"/>
      <c r="F2905" s="10"/>
    </row>
    <row r="2906" spans="3:6">
      <c r="C2906" s="1"/>
      <c r="E2906" s="3"/>
      <c r="F2906" s="10"/>
    </row>
    <row r="2907" spans="3:6">
      <c r="C2907" s="1"/>
      <c r="E2907" s="3"/>
      <c r="F2907" s="10"/>
    </row>
    <row r="2908" spans="3:6">
      <c r="C2908" s="1"/>
      <c r="E2908" s="3"/>
      <c r="F2908" s="10"/>
    </row>
    <row r="2909" spans="3:6">
      <c r="C2909" s="1"/>
      <c r="E2909" s="3"/>
      <c r="F2909" s="10"/>
    </row>
    <row r="2910" spans="3:6">
      <c r="C2910" s="1"/>
      <c r="E2910" s="3"/>
      <c r="F2910" s="10"/>
    </row>
    <row r="2911" spans="3:6">
      <c r="C2911" s="1"/>
      <c r="E2911" s="3"/>
      <c r="F2911" s="10"/>
    </row>
    <row r="2912" spans="3:6">
      <c r="C2912" s="1"/>
      <c r="E2912" s="3"/>
      <c r="F2912" s="10"/>
    </row>
    <row r="2913" spans="3:6">
      <c r="C2913" s="1"/>
      <c r="E2913" s="3"/>
      <c r="F2913" s="10"/>
    </row>
    <row r="2914" spans="3:6">
      <c r="C2914" s="1"/>
      <c r="E2914" s="3"/>
      <c r="F2914" s="10"/>
    </row>
    <row r="2915" spans="3:6">
      <c r="C2915" s="1"/>
      <c r="E2915" s="3"/>
      <c r="F2915" s="10"/>
    </row>
    <row r="2916" spans="3:6">
      <c r="C2916" s="1"/>
      <c r="E2916" s="3"/>
      <c r="F2916" s="10"/>
    </row>
    <row r="2917" spans="3:6">
      <c r="C2917" s="1"/>
      <c r="E2917" s="3"/>
      <c r="F2917" s="10"/>
    </row>
    <row r="2918" spans="3:6">
      <c r="C2918" s="1"/>
      <c r="E2918" s="3"/>
      <c r="F2918" s="10"/>
    </row>
    <row r="2919" spans="3:6">
      <c r="C2919" s="1"/>
      <c r="E2919" s="3"/>
      <c r="F2919" s="10"/>
    </row>
    <row r="2920" spans="3:6">
      <c r="C2920" s="1"/>
      <c r="E2920" s="3"/>
      <c r="F2920" s="10"/>
    </row>
    <row r="2921" spans="3:6">
      <c r="C2921" s="1"/>
      <c r="E2921" s="3"/>
      <c r="F2921" s="10"/>
    </row>
    <row r="2922" spans="3:6">
      <c r="C2922" s="1"/>
      <c r="E2922" s="3"/>
      <c r="F2922" s="10"/>
    </row>
    <row r="2923" spans="3:6">
      <c r="C2923" s="1"/>
      <c r="E2923" s="3"/>
      <c r="F2923" s="10"/>
    </row>
    <row r="2924" spans="3:6">
      <c r="C2924" s="1"/>
      <c r="E2924" s="3"/>
      <c r="F2924" s="10"/>
    </row>
    <row r="2925" spans="3:6">
      <c r="C2925" s="1"/>
      <c r="E2925" s="3"/>
      <c r="F2925" s="10"/>
    </row>
    <row r="2926" spans="3:6">
      <c r="C2926" s="1"/>
      <c r="E2926" s="3"/>
      <c r="F2926" s="10"/>
    </row>
    <row r="2927" spans="3:6">
      <c r="C2927" s="1"/>
      <c r="E2927" s="3"/>
      <c r="F2927" s="10"/>
    </row>
    <row r="2928" spans="3:6">
      <c r="C2928" s="1"/>
      <c r="E2928" s="3"/>
      <c r="F2928" s="10"/>
    </row>
    <row r="2929" spans="3:6">
      <c r="C2929" s="1"/>
      <c r="E2929" s="3"/>
      <c r="F2929" s="10"/>
    </row>
    <row r="2930" spans="3:6">
      <c r="C2930" s="1"/>
      <c r="E2930" s="3"/>
      <c r="F2930" s="10"/>
    </row>
    <row r="2931" spans="3:6">
      <c r="C2931" s="1"/>
      <c r="E2931" s="3"/>
      <c r="F2931" s="10"/>
    </row>
    <row r="2932" spans="3:6">
      <c r="C2932" s="1"/>
      <c r="E2932" s="3"/>
      <c r="F2932" s="10"/>
    </row>
    <row r="2933" spans="3:6">
      <c r="C2933" s="1"/>
      <c r="E2933" s="3"/>
      <c r="F2933" s="10"/>
    </row>
    <row r="2934" spans="3:6">
      <c r="C2934" s="1"/>
      <c r="E2934" s="3"/>
      <c r="F2934" s="10"/>
    </row>
    <row r="2935" spans="3:6">
      <c r="C2935" s="1"/>
      <c r="E2935" s="3"/>
      <c r="F2935" s="10"/>
    </row>
    <row r="2936" spans="3:6">
      <c r="C2936" s="1"/>
      <c r="E2936" s="3"/>
      <c r="F2936" s="10"/>
    </row>
    <row r="2937" spans="3:6">
      <c r="C2937" s="1"/>
      <c r="E2937" s="3"/>
      <c r="F2937" s="10"/>
    </row>
    <row r="2938" spans="3:6">
      <c r="C2938" s="1"/>
      <c r="E2938" s="3"/>
      <c r="F2938" s="10"/>
    </row>
    <row r="2939" spans="3:6">
      <c r="C2939" s="1"/>
      <c r="E2939" s="3"/>
      <c r="F2939" s="10"/>
    </row>
    <row r="2940" spans="3:6">
      <c r="C2940" s="1"/>
      <c r="E2940" s="3"/>
      <c r="F2940" s="10"/>
    </row>
    <row r="2941" spans="3:6">
      <c r="C2941" s="1"/>
      <c r="E2941" s="3"/>
      <c r="F2941" s="10"/>
    </row>
    <row r="2942" spans="3:6">
      <c r="C2942" s="1"/>
      <c r="E2942" s="3"/>
      <c r="F2942" s="10"/>
    </row>
    <row r="2943" spans="3:6">
      <c r="C2943" s="1"/>
      <c r="E2943" s="3"/>
      <c r="F2943" s="10"/>
    </row>
    <row r="2944" spans="3:6">
      <c r="C2944" s="1"/>
      <c r="E2944" s="3"/>
      <c r="F2944" s="10"/>
    </row>
    <row r="2945" spans="3:6">
      <c r="C2945" s="1"/>
      <c r="E2945" s="3"/>
      <c r="F2945" s="10"/>
    </row>
    <row r="2946" spans="3:6">
      <c r="C2946" s="1"/>
      <c r="E2946" s="3"/>
      <c r="F2946" s="10"/>
    </row>
    <row r="2947" spans="3:6">
      <c r="C2947" s="1"/>
      <c r="E2947" s="3"/>
      <c r="F2947" s="10"/>
    </row>
    <row r="2948" spans="3:6">
      <c r="C2948" s="1"/>
      <c r="E2948" s="3"/>
      <c r="F2948" s="10"/>
    </row>
    <row r="2949" spans="3:6">
      <c r="C2949" s="1"/>
      <c r="E2949" s="3"/>
      <c r="F2949" s="10"/>
    </row>
    <row r="2950" spans="3:6">
      <c r="C2950" s="1"/>
      <c r="E2950" s="3"/>
      <c r="F2950" s="10"/>
    </row>
    <row r="2951" spans="3:6">
      <c r="C2951" s="1"/>
      <c r="E2951" s="3"/>
      <c r="F2951" s="10"/>
    </row>
    <row r="2952" spans="3:6">
      <c r="C2952" s="1"/>
      <c r="E2952" s="3"/>
      <c r="F2952" s="10"/>
    </row>
    <row r="2953" spans="3:6">
      <c r="C2953" s="1"/>
      <c r="E2953" s="3"/>
      <c r="F2953" s="10"/>
    </row>
    <row r="2954" spans="3:6">
      <c r="C2954" s="1"/>
      <c r="E2954" s="3"/>
      <c r="F2954" s="10"/>
    </row>
    <row r="2955" spans="3:6">
      <c r="C2955" s="1"/>
      <c r="E2955" s="3"/>
      <c r="F2955" s="10"/>
    </row>
    <row r="2956" spans="3:6">
      <c r="C2956" s="1"/>
      <c r="E2956" s="3"/>
      <c r="F2956" s="10"/>
    </row>
    <row r="2957" spans="3:6">
      <c r="C2957" s="1"/>
      <c r="E2957" s="3"/>
      <c r="F2957" s="10"/>
    </row>
    <row r="2958" spans="3:6">
      <c r="C2958" s="1"/>
      <c r="E2958" s="3"/>
      <c r="F2958" s="10"/>
    </row>
    <row r="2959" spans="3:6">
      <c r="C2959" s="1"/>
      <c r="E2959" s="3"/>
      <c r="F2959" s="10"/>
    </row>
    <row r="2960" spans="3:6">
      <c r="C2960" s="1"/>
      <c r="E2960" s="3"/>
      <c r="F2960" s="10"/>
    </row>
    <row r="2961" spans="3:6">
      <c r="C2961" s="1"/>
      <c r="E2961" s="3"/>
      <c r="F2961" s="10"/>
    </row>
    <row r="2962" spans="3:6">
      <c r="C2962" s="1"/>
      <c r="E2962" s="3"/>
      <c r="F2962" s="10"/>
    </row>
    <row r="2963" spans="3:6">
      <c r="C2963" s="1"/>
      <c r="E2963" s="3"/>
      <c r="F2963" s="10"/>
    </row>
    <row r="2964" spans="3:6">
      <c r="C2964" s="1"/>
      <c r="E2964" s="3"/>
      <c r="F2964" s="10"/>
    </row>
    <row r="2965" spans="3:6">
      <c r="C2965" s="1"/>
      <c r="E2965" s="3"/>
      <c r="F2965" s="10"/>
    </row>
    <row r="2966" spans="3:6">
      <c r="C2966" s="1"/>
      <c r="E2966" s="3"/>
      <c r="F2966" s="10"/>
    </row>
    <row r="2967" spans="3:6">
      <c r="C2967" s="1"/>
      <c r="E2967" s="3"/>
      <c r="F2967" s="10"/>
    </row>
    <row r="2968" spans="3:6">
      <c r="C2968" s="1"/>
      <c r="E2968" s="3"/>
      <c r="F2968" s="10"/>
    </row>
    <row r="2969" spans="3:6">
      <c r="C2969" s="1"/>
      <c r="E2969" s="3"/>
      <c r="F2969" s="10"/>
    </row>
    <row r="2970" spans="3:6">
      <c r="C2970" s="1"/>
      <c r="E2970" s="3"/>
      <c r="F2970" s="10"/>
    </row>
    <row r="2971" spans="3:6">
      <c r="C2971" s="1"/>
      <c r="E2971" s="3"/>
      <c r="F2971" s="10"/>
    </row>
    <row r="2972" spans="3:6">
      <c r="C2972" s="1"/>
      <c r="E2972" s="3"/>
      <c r="F2972" s="10"/>
    </row>
    <row r="2973" spans="3:6">
      <c r="C2973" s="1"/>
      <c r="E2973" s="3"/>
      <c r="F2973" s="10"/>
    </row>
    <row r="2974" spans="3:6">
      <c r="C2974" s="1"/>
      <c r="E2974" s="3"/>
      <c r="F2974" s="10"/>
    </row>
    <row r="2975" spans="3:6">
      <c r="C2975" s="1"/>
      <c r="E2975" s="3"/>
      <c r="F2975" s="10"/>
    </row>
    <row r="2976" spans="3:6">
      <c r="C2976" s="1"/>
      <c r="E2976" s="3"/>
      <c r="F2976" s="10"/>
    </row>
    <row r="2977" spans="3:6">
      <c r="C2977" s="1"/>
      <c r="E2977" s="3"/>
      <c r="F2977" s="10"/>
    </row>
    <row r="2978" spans="3:6">
      <c r="C2978" s="1"/>
      <c r="E2978" s="3"/>
      <c r="F2978" s="10"/>
    </row>
    <row r="2979" spans="3:6">
      <c r="C2979" s="1"/>
      <c r="E2979" s="3"/>
      <c r="F2979" s="10"/>
    </row>
    <row r="2980" spans="3:6">
      <c r="C2980" s="1"/>
      <c r="E2980" s="3"/>
      <c r="F2980" s="10"/>
    </row>
    <row r="2981" spans="3:6">
      <c r="C2981" s="1"/>
      <c r="E2981" s="3"/>
      <c r="F2981" s="10"/>
    </row>
    <row r="2982" spans="3:6">
      <c r="C2982" s="1"/>
      <c r="E2982" s="3"/>
      <c r="F2982" s="10"/>
    </row>
    <row r="2983" spans="3:6">
      <c r="C2983" s="1"/>
      <c r="E2983" s="3"/>
      <c r="F2983" s="10"/>
    </row>
    <row r="2984" spans="3:6">
      <c r="C2984" s="1"/>
      <c r="E2984" s="3"/>
      <c r="F2984" s="10"/>
    </row>
    <row r="2985" spans="3:6">
      <c r="C2985" s="1"/>
      <c r="E2985" s="3"/>
      <c r="F2985" s="10"/>
    </row>
    <row r="2986" spans="3:6">
      <c r="C2986" s="1"/>
      <c r="E2986" s="3"/>
      <c r="F2986" s="10"/>
    </row>
    <row r="2987" spans="3:6">
      <c r="C2987" s="1"/>
      <c r="E2987" s="3"/>
      <c r="F2987" s="10"/>
    </row>
    <row r="2988" spans="3:6">
      <c r="C2988" s="1"/>
      <c r="E2988" s="3"/>
      <c r="F2988" s="10"/>
    </row>
    <row r="2989" spans="3:6">
      <c r="C2989" s="1"/>
      <c r="E2989" s="3"/>
      <c r="F2989" s="10"/>
    </row>
    <row r="2990" spans="3:6">
      <c r="C2990" s="1"/>
      <c r="E2990" s="3"/>
      <c r="F2990" s="10"/>
    </row>
    <row r="2991" spans="3:6">
      <c r="C2991" s="1"/>
      <c r="E2991" s="3"/>
      <c r="F2991" s="10"/>
    </row>
    <row r="2992" spans="3:6">
      <c r="C2992" s="1"/>
      <c r="E2992" s="3"/>
      <c r="F2992" s="10"/>
    </row>
    <row r="2993" spans="3:6">
      <c r="C2993" s="1"/>
      <c r="E2993" s="3"/>
      <c r="F2993" s="10"/>
    </row>
    <row r="2994" spans="3:6">
      <c r="C2994" s="1"/>
      <c r="E2994" s="3"/>
      <c r="F2994" s="10"/>
    </row>
    <row r="2995" spans="3:6">
      <c r="C2995" s="1"/>
      <c r="E2995" s="3"/>
      <c r="F2995" s="10"/>
    </row>
    <row r="2996" spans="3:6">
      <c r="C2996" s="1"/>
      <c r="E2996" s="3"/>
      <c r="F2996" s="10"/>
    </row>
    <row r="2997" spans="3:6">
      <c r="C2997" s="1"/>
      <c r="E2997" s="3"/>
      <c r="F2997" s="10"/>
    </row>
    <row r="2998" spans="3:6">
      <c r="C2998" s="1"/>
      <c r="E2998" s="3"/>
      <c r="F2998" s="10"/>
    </row>
    <row r="2999" spans="3:6">
      <c r="C2999" s="1"/>
      <c r="E2999" s="3"/>
      <c r="F2999" s="10"/>
    </row>
    <row r="3000" spans="3:6">
      <c r="C3000" s="1"/>
      <c r="E3000" s="3"/>
      <c r="F3000" s="10"/>
    </row>
    <row r="3001" spans="3:6">
      <c r="C3001" s="1"/>
      <c r="E3001" s="3"/>
      <c r="F3001" s="10"/>
    </row>
    <row r="3002" spans="3:6">
      <c r="C3002" s="1"/>
      <c r="E3002" s="3"/>
      <c r="F3002" s="10"/>
    </row>
    <row r="3003" spans="3:6">
      <c r="C3003" s="1"/>
      <c r="E3003" s="3"/>
      <c r="F3003" s="10"/>
    </row>
    <row r="3004" spans="3:6">
      <c r="C3004" s="1"/>
      <c r="E3004" s="3"/>
      <c r="F3004" s="10"/>
    </row>
    <row r="3005" spans="3:6">
      <c r="C3005" s="1"/>
      <c r="E3005" s="3"/>
      <c r="F3005" s="10"/>
    </row>
    <row r="3006" spans="3:6">
      <c r="C3006" s="1"/>
      <c r="E3006" s="3"/>
      <c r="F3006" s="10"/>
    </row>
    <row r="3007" spans="3:6">
      <c r="C3007" s="1"/>
      <c r="E3007" s="3"/>
      <c r="F3007" s="10"/>
    </row>
    <row r="3008" spans="3:6">
      <c r="C3008" s="1"/>
      <c r="E3008" s="3"/>
      <c r="F3008" s="10"/>
    </row>
    <row r="3009" spans="3:6">
      <c r="C3009" s="1"/>
      <c r="E3009" s="3"/>
      <c r="F3009" s="10"/>
    </row>
    <row r="3010" spans="3:6">
      <c r="C3010" s="1"/>
      <c r="E3010" s="3"/>
      <c r="F3010" s="10"/>
    </row>
    <row r="3011" spans="3:6">
      <c r="C3011" s="1"/>
      <c r="E3011" s="3"/>
      <c r="F3011" s="10"/>
    </row>
    <row r="3012" spans="3:6">
      <c r="C3012" s="1"/>
      <c r="E3012" s="3"/>
      <c r="F3012" s="10"/>
    </row>
    <row r="3013" spans="3:6">
      <c r="C3013" s="1"/>
      <c r="E3013" s="3"/>
      <c r="F3013" s="10"/>
    </row>
    <row r="3014" spans="3:6">
      <c r="C3014" s="1"/>
      <c r="E3014" s="3"/>
      <c r="F3014" s="10"/>
    </row>
    <row r="3015" spans="3:6">
      <c r="C3015" s="1"/>
      <c r="E3015" s="3"/>
      <c r="F3015" s="10"/>
    </row>
    <row r="3016" spans="3:6">
      <c r="C3016" s="1"/>
      <c r="E3016" s="3"/>
      <c r="F3016" s="10"/>
    </row>
    <row r="3017" spans="3:6">
      <c r="C3017" s="1"/>
      <c r="E3017" s="3"/>
      <c r="F3017" s="10"/>
    </row>
    <row r="3018" spans="3:6">
      <c r="C3018" s="1"/>
      <c r="E3018" s="3"/>
      <c r="F3018" s="10"/>
    </row>
    <row r="3019" spans="3:6">
      <c r="C3019" s="1"/>
      <c r="E3019" s="3"/>
      <c r="F3019" s="10"/>
    </row>
    <row r="3020" spans="3:6">
      <c r="C3020" s="1"/>
      <c r="E3020" s="3"/>
      <c r="F3020" s="10"/>
    </row>
    <row r="3021" spans="3:6">
      <c r="C3021" s="1"/>
      <c r="E3021" s="3"/>
      <c r="F3021" s="10"/>
    </row>
    <row r="3022" spans="3:6">
      <c r="C3022" s="1"/>
      <c r="E3022" s="3"/>
      <c r="F3022" s="10"/>
    </row>
    <row r="3023" spans="3:6">
      <c r="C3023" s="1"/>
      <c r="E3023" s="3"/>
      <c r="F3023" s="10"/>
    </row>
    <row r="3024" spans="3:6">
      <c r="C3024" s="1"/>
      <c r="E3024" s="3"/>
      <c r="F3024" s="10"/>
    </row>
    <row r="3025" spans="3:6">
      <c r="C3025" s="1"/>
      <c r="E3025" s="3"/>
      <c r="F3025" s="10"/>
    </row>
    <row r="3026" spans="3:6">
      <c r="C3026" s="1"/>
      <c r="E3026" s="3"/>
      <c r="F3026" s="10"/>
    </row>
    <row r="3027" spans="3:6">
      <c r="C3027" s="1"/>
      <c r="E3027" s="3"/>
      <c r="F3027" s="10"/>
    </row>
    <row r="3028" spans="3:6">
      <c r="C3028" s="1"/>
      <c r="E3028" s="3"/>
      <c r="F3028" s="10"/>
    </row>
    <row r="3029" spans="3:6">
      <c r="C3029" s="1"/>
      <c r="E3029" s="3"/>
      <c r="F3029" s="10"/>
    </row>
    <row r="3030" spans="3:6">
      <c r="C3030" s="1"/>
      <c r="E3030" s="3"/>
      <c r="F3030" s="10"/>
    </row>
    <row r="3031" spans="3:6">
      <c r="C3031" s="1"/>
      <c r="E3031" s="3"/>
      <c r="F3031" s="10"/>
    </row>
    <row r="3032" spans="3:6">
      <c r="C3032" s="1"/>
      <c r="E3032" s="3"/>
      <c r="F3032" s="10"/>
    </row>
    <row r="3033" spans="3:6">
      <c r="C3033" s="1"/>
      <c r="E3033" s="3"/>
      <c r="F3033" s="10"/>
    </row>
    <row r="3034" spans="3:6">
      <c r="C3034" s="1"/>
      <c r="E3034" s="3"/>
      <c r="F3034" s="10"/>
    </row>
    <row r="3035" spans="3:6">
      <c r="C3035" s="1"/>
      <c r="E3035" s="3"/>
      <c r="F3035" s="10"/>
    </row>
    <row r="3036" spans="3:6">
      <c r="C3036" s="1"/>
      <c r="E3036" s="3"/>
      <c r="F3036" s="10"/>
    </row>
    <row r="3037" spans="3:6">
      <c r="C3037" s="1"/>
      <c r="E3037" s="3"/>
      <c r="F3037" s="10"/>
    </row>
    <row r="3038" spans="3:6">
      <c r="C3038" s="1"/>
      <c r="E3038" s="3"/>
      <c r="F3038" s="10"/>
    </row>
    <row r="3039" spans="3:6">
      <c r="C3039" s="1"/>
      <c r="E3039" s="3"/>
      <c r="F3039" s="10"/>
    </row>
    <row r="3040" spans="3:6">
      <c r="C3040" s="1"/>
      <c r="E3040" s="3"/>
      <c r="F3040" s="10"/>
    </row>
    <row r="3041" spans="3:6">
      <c r="C3041" s="1"/>
      <c r="E3041" s="3"/>
      <c r="F3041" s="10"/>
    </row>
    <row r="3042" spans="3:6">
      <c r="C3042" s="1"/>
      <c r="E3042" s="3"/>
      <c r="F3042" s="10"/>
    </row>
    <row r="3043" spans="3:6">
      <c r="C3043" s="1"/>
      <c r="E3043" s="3"/>
      <c r="F3043" s="10"/>
    </row>
    <row r="3044" spans="3:6">
      <c r="C3044" s="1"/>
      <c r="E3044" s="3"/>
      <c r="F3044" s="10"/>
    </row>
    <row r="3045" spans="3:6">
      <c r="C3045" s="1"/>
      <c r="E3045" s="3"/>
      <c r="F3045" s="10"/>
    </row>
    <row r="3046" spans="3:6">
      <c r="C3046" s="1"/>
      <c r="E3046" s="3"/>
      <c r="F3046" s="10"/>
    </row>
    <row r="3047" spans="3:6">
      <c r="C3047" s="1"/>
      <c r="E3047" s="3"/>
      <c r="F3047" s="10"/>
    </row>
    <row r="3048" spans="3:6">
      <c r="C3048" s="1"/>
      <c r="E3048" s="3"/>
      <c r="F3048" s="10"/>
    </row>
    <row r="3049" spans="3:6">
      <c r="C3049" s="1"/>
      <c r="E3049" s="3"/>
      <c r="F3049" s="10"/>
    </row>
    <row r="3050" spans="3:6">
      <c r="C3050" s="1"/>
      <c r="E3050" s="3"/>
      <c r="F3050" s="10"/>
    </row>
    <row r="3051" spans="3:6">
      <c r="C3051" s="1"/>
      <c r="E3051" s="3"/>
      <c r="F3051" s="10"/>
    </row>
    <row r="3052" spans="3:6">
      <c r="C3052" s="1"/>
      <c r="E3052" s="3"/>
      <c r="F3052" s="10"/>
    </row>
    <row r="3053" spans="3:6">
      <c r="C3053" s="1"/>
      <c r="E3053" s="3"/>
      <c r="F3053" s="10"/>
    </row>
    <row r="3054" spans="3:6">
      <c r="C3054" s="1"/>
      <c r="E3054" s="3"/>
      <c r="F3054" s="10"/>
    </row>
    <row r="3055" spans="3:6">
      <c r="C3055" s="1"/>
      <c r="E3055" s="3"/>
      <c r="F3055" s="10"/>
    </row>
    <row r="3056" spans="3:6">
      <c r="C3056" s="1"/>
      <c r="E3056" s="3"/>
      <c r="F3056" s="10"/>
    </row>
    <row r="3057" spans="3:6">
      <c r="C3057" s="1"/>
      <c r="E3057" s="3"/>
      <c r="F3057" s="10"/>
    </row>
    <row r="3058" spans="3:6">
      <c r="C3058" s="1"/>
      <c r="E3058" s="3"/>
      <c r="F3058" s="10"/>
    </row>
    <row r="3059" spans="3:6">
      <c r="C3059" s="1"/>
      <c r="E3059" s="3"/>
      <c r="F3059" s="10"/>
    </row>
    <row r="3060" spans="3:6">
      <c r="C3060" s="1"/>
      <c r="E3060" s="3"/>
      <c r="F3060" s="10"/>
    </row>
    <row r="3061" spans="3:6">
      <c r="C3061" s="1"/>
      <c r="E3061" s="3"/>
      <c r="F3061" s="10"/>
    </row>
    <row r="3062" spans="3:6">
      <c r="C3062" s="1"/>
      <c r="E3062" s="3"/>
      <c r="F3062" s="10"/>
    </row>
    <row r="3063" spans="3:6">
      <c r="C3063" s="1"/>
      <c r="E3063" s="3"/>
      <c r="F3063" s="10"/>
    </row>
    <row r="3064" spans="3:6">
      <c r="C3064" s="1"/>
      <c r="E3064" s="3"/>
      <c r="F3064" s="10"/>
    </row>
    <row r="3065" spans="3:6">
      <c r="C3065" s="1"/>
      <c r="E3065" s="3"/>
      <c r="F3065" s="10"/>
    </row>
    <row r="3066" spans="3:6">
      <c r="C3066" s="1"/>
      <c r="E3066" s="3"/>
      <c r="F3066" s="10"/>
    </row>
    <row r="3067" spans="3:6">
      <c r="C3067" s="1"/>
      <c r="E3067" s="3"/>
      <c r="F3067" s="10"/>
    </row>
    <row r="3068" spans="3:6">
      <c r="C3068" s="1"/>
      <c r="E3068" s="3"/>
      <c r="F3068" s="10"/>
    </row>
    <row r="3069" spans="3:6">
      <c r="C3069" s="1"/>
      <c r="E3069" s="3"/>
      <c r="F3069" s="10"/>
    </row>
    <row r="3070" spans="3:6">
      <c r="C3070" s="1"/>
      <c r="E3070" s="3"/>
      <c r="F3070" s="10"/>
    </row>
    <row r="3071" spans="3:6">
      <c r="C3071" s="1"/>
      <c r="E3071" s="3"/>
      <c r="F3071" s="10"/>
    </row>
    <row r="3072" spans="3:6">
      <c r="C3072" s="1"/>
      <c r="E3072" s="3"/>
      <c r="F3072" s="10"/>
    </row>
    <row r="3073" spans="3:6">
      <c r="C3073" s="1"/>
      <c r="E3073" s="3"/>
      <c r="F3073" s="10"/>
    </row>
    <row r="3074" spans="3:6">
      <c r="C3074" s="1"/>
      <c r="E3074" s="3"/>
      <c r="F3074" s="10"/>
    </row>
    <row r="3075" spans="3:6">
      <c r="C3075" s="1"/>
      <c r="E3075" s="3"/>
      <c r="F3075" s="10"/>
    </row>
    <row r="3076" spans="3:6">
      <c r="C3076" s="1"/>
      <c r="E3076" s="3"/>
      <c r="F3076" s="10"/>
    </row>
    <row r="3077" spans="3:6">
      <c r="C3077" s="1"/>
      <c r="E3077" s="3"/>
      <c r="F3077" s="10"/>
    </row>
    <row r="3078" spans="3:6">
      <c r="C3078" s="1"/>
      <c r="E3078" s="3"/>
      <c r="F3078" s="10"/>
    </row>
    <row r="3079" spans="3:6">
      <c r="C3079" s="1"/>
      <c r="E3079" s="3"/>
      <c r="F3079" s="10"/>
    </row>
    <row r="3080" spans="3:6">
      <c r="C3080" s="1"/>
      <c r="E3080" s="3"/>
      <c r="F3080" s="10"/>
    </row>
    <row r="3081" spans="3:6">
      <c r="C3081" s="1"/>
      <c r="E3081" s="3"/>
      <c r="F3081" s="10"/>
    </row>
    <row r="3082" spans="3:6">
      <c r="C3082" s="1"/>
      <c r="E3082" s="3"/>
      <c r="F3082" s="10"/>
    </row>
    <row r="3083" spans="3:6">
      <c r="C3083" s="1"/>
      <c r="E3083" s="3"/>
      <c r="F3083" s="10"/>
    </row>
    <row r="3084" spans="3:6">
      <c r="C3084" s="1"/>
      <c r="E3084" s="3"/>
      <c r="F3084" s="10"/>
    </row>
    <row r="3085" spans="3:6">
      <c r="C3085" s="1"/>
      <c r="E3085" s="3"/>
      <c r="F3085" s="10"/>
    </row>
    <row r="3086" spans="3:6">
      <c r="C3086" s="1"/>
      <c r="E3086" s="3"/>
      <c r="F3086" s="10"/>
    </row>
    <row r="3087" spans="3:6">
      <c r="C3087" s="1"/>
      <c r="E3087" s="3"/>
      <c r="F3087" s="10"/>
    </row>
    <row r="3088" spans="3:6">
      <c r="C3088" s="1"/>
      <c r="E3088" s="3"/>
      <c r="F3088" s="10"/>
    </row>
    <row r="3089" spans="3:6">
      <c r="C3089" s="1"/>
      <c r="E3089" s="3"/>
      <c r="F3089" s="10"/>
    </row>
    <row r="3090" spans="3:6">
      <c r="C3090" s="1"/>
      <c r="E3090" s="3"/>
      <c r="F3090" s="10"/>
    </row>
    <row r="3091" spans="3:6">
      <c r="C3091" s="1"/>
      <c r="E3091" s="3"/>
      <c r="F3091" s="10"/>
    </row>
    <row r="3092" spans="3:6">
      <c r="C3092" s="1"/>
      <c r="E3092" s="3"/>
      <c r="F3092" s="10"/>
    </row>
    <row r="3093" spans="3:6">
      <c r="C3093" s="1"/>
      <c r="E3093" s="3"/>
      <c r="F3093" s="10"/>
    </row>
    <row r="3094" spans="3:6">
      <c r="C3094" s="1"/>
      <c r="E3094" s="3"/>
      <c r="F3094" s="10"/>
    </row>
    <row r="3095" spans="3:6">
      <c r="C3095" s="1"/>
      <c r="E3095" s="3"/>
      <c r="F3095" s="10"/>
    </row>
    <row r="3096" spans="3:6">
      <c r="C3096" s="1"/>
      <c r="E3096" s="3"/>
      <c r="F3096" s="10"/>
    </row>
    <row r="3097" spans="3:6">
      <c r="C3097" s="1"/>
      <c r="E3097" s="3"/>
      <c r="F3097" s="10"/>
    </row>
    <row r="3098" spans="3:6">
      <c r="C3098" s="1"/>
      <c r="E3098" s="3"/>
      <c r="F3098" s="10"/>
    </row>
    <row r="3099" spans="3:6">
      <c r="C3099" s="1"/>
      <c r="E3099" s="3"/>
      <c r="F3099" s="10"/>
    </row>
    <row r="3100" spans="3:6">
      <c r="C3100" s="1"/>
      <c r="E3100" s="3"/>
      <c r="F3100" s="10"/>
    </row>
    <row r="3101" spans="3:6">
      <c r="C3101" s="1"/>
      <c r="E3101" s="3"/>
      <c r="F3101" s="10"/>
    </row>
    <row r="3102" spans="3:6">
      <c r="C3102" s="1"/>
      <c r="E3102" s="3"/>
      <c r="F3102" s="10"/>
    </row>
    <row r="3103" spans="3:6">
      <c r="C3103" s="1"/>
      <c r="E3103" s="3"/>
      <c r="F3103" s="10"/>
    </row>
    <row r="3104" spans="3:6">
      <c r="C3104" s="1"/>
      <c r="E3104" s="3"/>
      <c r="F3104" s="10"/>
    </row>
    <row r="3105" spans="3:6">
      <c r="C3105" s="1"/>
      <c r="E3105" s="3"/>
      <c r="F3105" s="10"/>
    </row>
    <row r="3106" spans="3:6">
      <c r="C3106" s="1"/>
      <c r="E3106" s="3"/>
      <c r="F3106" s="10"/>
    </row>
    <row r="3107" spans="3:6">
      <c r="C3107" s="1"/>
      <c r="E3107" s="3"/>
      <c r="F3107" s="10"/>
    </row>
    <row r="3108" spans="3:6">
      <c r="C3108" s="1"/>
      <c r="E3108" s="3"/>
      <c r="F3108" s="10"/>
    </row>
    <row r="3109" spans="3:6">
      <c r="C3109" s="1"/>
      <c r="E3109" s="3"/>
      <c r="F3109" s="10"/>
    </row>
    <row r="3110" spans="3:6">
      <c r="C3110" s="1"/>
      <c r="E3110" s="3"/>
      <c r="F3110" s="10"/>
    </row>
    <row r="3111" spans="3:6">
      <c r="C3111" s="1"/>
      <c r="E3111" s="3"/>
      <c r="F3111" s="10"/>
    </row>
    <row r="3112" spans="3:6">
      <c r="C3112" s="1"/>
      <c r="E3112" s="3"/>
      <c r="F3112" s="10"/>
    </row>
    <row r="3113" spans="3:6">
      <c r="C3113" s="1"/>
      <c r="E3113" s="3"/>
      <c r="F3113" s="10"/>
    </row>
    <row r="3114" spans="3:6">
      <c r="C3114" s="1"/>
      <c r="E3114" s="3"/>
      <c r="F3114" s="10"/>
    </row>
    <row r="3115" spans="3:6">
      <c r="C3115" s="1"/>
      <c r="E3115" s="3"/>
      <c r="F3115" s="10"/>
    </row>
    <row r="3116" spans="3:6">
      <c r="C3116" s="1"/>
      <c r="E3116" s="3"/>
      <c r="F3116" s="10"/>
    </row>
    <row r="3117" spans="3:6">
      <c r="C3117" s="1"/>
      <c r="E3117" s="3"/>
      <c r="F3117" s="10"/>
    </row>
    <row r="3118" spans="3:6">
      <c r="C3118" s="1"/>
      <c r="E3118" s="3"/>
      <c r="F3118" s="10"/>
    </row>
    <row r="3119" spans="3:6">
      <c r="C3119" s="1"/>
      <c r="E3119" s="3"/>
      <c r="F3119" s="10"/>
    </row>
    <row r="3120" spans="3:6">
      <c r="C3120" s="1"/>
      <c r="E3120" s="3"/>
      <c r="F3120" s="10"/>
    </row>
    <row r="3121" spans="3:6">
      <c r="C3121" s="1"/>
      <c r="E3121" s="3"/>
      <c r="F3121" s="10"/>
    </row>
    <row r="3122" spans="3:6">
      <c r="C3122" s="1"/>
      <c r="E3122" s="3"/>
      <c r="F3122" s="10"/>
    </row>
    <row r="3123" spans="3:6">
      <c r="C3123" s="1"/>
      <c r="E3123" s="3"/>
    </row>
    <row r="3124" spans="3:6">
      <c r="C3124" s="1"/>
      <c r="E3124" s="3"/>
    </row>
    <row r="3125" spans="3:6">
      <c r="C3125" s="1"/>
      <c r="E3125" s="3"/>
    </row>
    <row r="3126" spans="3:6">
      <c r="C3126" s="1"/>
      <c r="E3126" s="3"/>
    </row>
    <row r="3127" spans="3:6">
      <c r="C3127" s="1"/>
      <c r="E3127" s="3"/>
    </row>
    <row r="3128" spans="3:6">
      <c r="C3128" s="1"/>
      <c r="E3128" s="3"/>
    </row>
    <row r="3129" spans="3:6">
      <c r="C3129" s="1"/>
      <c r="E3129" s="3"/>
    </row>
    <row r="3130" spans="3:6">
      <c r="C3130" s="1"/>
      <c r="E3130" s="3"/>
    </row>
    <row r="3131" spans="3:6">
      <c r="C3131" s="1"/>
      <c r="E3131" s="3"/>
    </row>
    <row r="3132" spans="3:6">
      <c r="C3132" s="1"/>
      <c r="E3132" s="3"/>
    </row>
    <row r="3133" spans="3:6">
      <c r="C3133" s="1"/>
      <c r="E3133" s="3"/>
    </row>
    <row r="3134" spans="3:6">
      <c r="C3134" s="1"/>
      <c r="E3134" s="3"/>
    </row>
    <row r="3135" spans="3:6">
      <c r="C3135" s="1"/>
      <c r="E3135" s="3"/>
    </row>
    <row r="3136" spans="3:6">
      <c r="C3136" s="1"/>
      <c r="E3136" s="3"/>
    </row>
    <row r="3137" spans="3:5">
      <c r="C3137" s="1"/>
      <c r="E3137" s="3"/>
    </row>
    <row r="3138" spans="3:5">
      <c r="C3138" s="1"/>
      <c r="E3138" s="3"/>
    </row>
    <row r="3139" spans="3:5">
      <c r="C3139" s="1"/>
      <c r="E3139" s="3"/>
    </row>
    <row r="3140" spans="3:5">
      <c r="C3140" s="1"/>
      <c r="E3140" s="3"/>
    </row>
    <row r="3141" spans="3:5">
      <c r="C3141" s="1"/>
      <c r="E3141" s="3"/>
    </row>
    <row r="3142" spans="3:5">
      <c r="C3142" s="1"/>
    </row>
    <row r="3143" spans="3:5">
      <c r="C3143" s="1"/>
    </row>
    <row r="3144" spans="3:5">
      <c r="C3144" s="1"/>
    </row>
  </sheetData>
  <mergeCells count="84">
    <mergeCell ref="C27:C43"/>
    <mergeCell ref="A1:H2"/>
    <mergeCell ref="A3:A4"/>
    <mergeCell ref="B3:B4"/>
    <mergeCell ref="C3:C4"/>
    <mergeCell ref="D3:D4"/>
    <mergeCell ref="E3:E4"/>
    <mergeCell ref="F3:F4"/>
    <mergeCell ref="G3:H3"/>
    <mergeCell ref="A7:A15"/>
    <mergeCell ref="B10:B15"/>
    <mergeCell ref="A17:A18"/>
    <mergeCell ref="A20:A50"/>
    <mergeCell ref="B23:B50"/>
    <mergeCell ref="A52:A64"/>
    <mergeCell ref="B53:B64"/>
    <mergeCell ref="C62:C64"/>
    <mergeCell ref="A66:A71"/>
    <mergeCell ref="B67:B68"/>
    <mergeCell ref="B70:B71"/>
    <mergeCell ref="A73:A121"/>
    <mergeCell ref="B74:B78"/>
    <mergeCell ref="B80:B82"/>
    <mergeCell ref="B84:B107"/>
    <mergeCell ref="B109:B113"/>
    <mergeCell ref="B115:B121"/>
    <mergeCell ref="A123:A126"/>
    <mergeCell ref="B124:B126"/>
    <mergeCell ref="A128:A173"/>
    <mergeCell ref="B133:B155"/>
    <mergeCell ref="C153:C154"/>
    <mergeCell ref="B157:B161"/>
    <mergeCell ref="B163:B168"/>
    <mergeCell ref="B170:B173"/>
    <mergeCell ref="B285:B292"/>
    <mergeCell ref="A175:A181"/>
    <mergeCell ref="B176:B181"/>
    <mergeCell ref="A183:A184"/>
    <mergeCell ref="A186:A189"/>
    <mergeCell ref="A191:A353"/>
    <mergeCell ref="B192:B219"/>
    <mergeCell ref="B298:B315"/>
    <mergeCell ref="B317:B327"/>
    <mergeCell ref="B329:B330"/>
    <mergeCell ref="B332:B353"/>
    <mergeCell ref="C212:C214"/>
    <mergeCell ref="B221:B233"/>
    <mergeCell ref="B235:B260"/>
    <mergeCell ref="C258:C259"/>
    <mergeCell ref="B262:B283"/>
    <mergeCell ref="A355:A385"/>
    <mergeCell ref="B358:B360"/>
    <mergeCell ref="B362:B365"/>
    <mergeCell ref="B367:B383"/>
    <mergeCell ref="A387:A466"/>
    <mergeCell ref="B390:B407"/>
    <mergeCell ref="B411:B412"/>
    <mergeCell ref="B418:B436"/>
    <mergeCell ref="B438:B446"/>
    <mergeCell ref="B448:B466"/>
    <mergeCell ref="A641:D641"/>
    <mergeCell ref="A468:A508"/>
    <mergeCell ref="B469:B487"/>
    <mergeCell ref="B491:B508"/>
    <mergeCell ref="A510:A540"/>
    <mergeCell ref="B511:B529"/>
    <mergeCell ref="B533:B534"/>
    <mergeCell ref="B536:B540"/>
    <mergeCell ref="E643:H643"/>
    <mergeCell ref="E645:H645"/>
    <mergeCell ref="A644:D644"/>
    <mergeCell ref="C583:C587"/>
    <mergeCell ref="A589:A604"/>
    <mergeCell ref="B598:B604"/>
    <mergeCell ref="A606:A640"/>
    <mergeCell ref="B607:B631"/>
    <mergeCell ref="B633:B640"/>
    <mergeCell ref="A542:A587"/>
    <mergeCell ref="B543:B546"/>
    <mergeCell ref="B550:B551"/>
    <mergeCell ref="B553:B555"/>
    <mergeCell ref="B559:B563"/>
    <mergeCell ref="B565:B574"/>
    <mergeCell ref="B578:B587"/>
  </mergeCells>
  <printOptions horizontalCentered="1" gridLines="1"/>
  <pageMargins left="0.19685039370078741" right="0.19685039370078741" top="0.31496062992125984" bottom="0.35433070866141736" header="0" footer="0.11811023622047245"/>
  <pageSetup paperSize="9" scale="61" fitToHeight="9" orientation="portrait" r:id="rId1"/>
  <headerFooter alignWithMargins="0">
    <oddHeader xml:space="preserve">&amp;L&amp;"Arial CE,Pogrubiona kursywa"&amp;14TABELA NR 2 - do uchwały budżetowej - PLANOWANE WYDATKI  GMINY KOZIENICE NA 2011 ROK. </oddHeader>
    <oddFooter>Strona &amp;P</oddFooter>
  </headerFooter>
  <rowBreaks count="6" manualBreakCount="6">
    <brk id="78" max="7" man="1"/>
    <brk id="149" max="7" man="1"/>
    <brk id="219" max="7" man="1"/>
    <brk id="294" max="7" man="1"/>
    <brk id="514" max="7" man="1"/>
    <brk id="587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8</vt:i4>
      </vt:variant>
      <vt:variant>
        <vt:lpstr>Zakresy nazwane</vt:lpstr>
      </vt:variant>
      <vt:variant>
        <vt:i4>2</vt:i4>
      </vt:variant>
    </vt:vector>
  </HeadingPairs>
  <TitlesOfParts>
    <vt:vector size="10" baseType="lpstr">
      <vt:lpstr>Sesja 03.02.2011</vt:lpstr>
      <vt:lpstr>Arkusz1</vt:lpstr>
      <vt:lpstr>Arkusz2</vt:lpstr>
      <vt:lpstr>Arkusz3</vt:lpstr>
      <vt:lpstr>Arkusz4</vt:lpstr>
      <vt:lpstr>Arkusz5</vt:lpstr>
      <vt:lpstr>Arkusz6</vt:lpstr>
      <vt:lpstr>Arkusz7</vt:lpstr>
      <vt:lpstr>'Sesja 03.02.2011'!Obszar_wydruku</vt:lpstr>
      <vt:lpstr>'Sesja 03.02.2011'!Tytuły_wydruku</vt:lpstr>
    </vt:vector>
  </TitlesOfParts>
  <Company>UM Kozienice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barbara_galińska</dc:creator>
  <cp:lastModifiedBy>barbara_galińska</cp:lastModifiedBy>
  <cp:lastPrinted>2011-02-01T11:03:46Z</cp:lastPrinted>
  <dcterms:created xsi:type="dcterms:W3CDTF">2009-01-26T14:04:01Z</dcterms:created>
  <dcterms:modified xsi:type="dcterms:W3CDTF">2011-02-08T11:25:36Z</dcterms:modified>
</cp:coreProperties>
</file>